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1555B61A-BBF9-4175-AB2E-FA763103E60C}" xr6:coauthVersionLast="45" xr6:coauthVersionMax="45" xr10:uidLastSave="{00000000-0000-0000-0000-000000000000}"/>
  <bookViews>
    <workbookView xWindow="-120" yWindow="-120" windowWidth="19440" windowHeight="15000" activeTab="3" xr2:uid="{00000000-000D-0000-FFFF-FFFF00000000}"/>
  </bookViews>
  <sheets>
    <sheet name="управление" sheetId="2" r:id="rId1"/>
    <sheet name="розрахунок" sheetId="13" r:id="rId2"/>
    <sheet name="план" sheetId="11" r:id="rId3"/>
    <sheet name="2025" sheetId="12" r:id="rId4"/>
  </sheets>
  <externalReferences>
    <externalReference r:id="rId5"/>
    <externalReference r:id="rId6"/>
    <externalReference r:id="rId7"/>
  </externalReferences>
  <definedNames>
    <definedName name="_GoBack" localSheetId="0">управление!#REF!</definedName>
    <definedName name="_xlnm.Print_Titles" localSheetId="0">управление!$3:$3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2" l="1"/>
  <c r="E63" i="13" l="1"/>
  <c r="E65" i="13" s="1"/>
  <c r="D46" i="13" l="1"/>
  <c r="O15" i="13" l="1"/>
  <c r="O16" i="13"/>
  <c r="O17" i="13"/>
  <c r="O18" i="13"/>
  <c r="O19" i="13"/>
  <c r="O20" i="13"/>
  <c r="O22" i="13"/>
  <c r="O23" i="13"/>
  <c r="O24" i="13"/>
  <c r="O25" i="13"/>
  <c r="O49" i="13"/>
  <c r="O50" i="13"/>
  <c r="O53" i="13"/>
  <c r="N53" i="13"/>
  <c r="N50" i="13"/>
  <c r="N49" i="13"/>
  <c r="N25" i="13"/>
  <c r="N24" i="13"/>
  <c r="N23" i="13"/>
  <c r="N22" i="13"/>
  <c r="N20" i="13"/>
  <c r="N19" i="13"/>
  <c r="N18" i="13"/>
  <c r="N17" i="13"/>
  <c r="N16" i="13"/>
  <c r="N15" i="13"/>
  <c r="M15" i="13"/>
  <c r="M16" i="13"/>
  <c r="M17" i="13"/>
  <c r="M18" i="13"/>
  <c r="M19" i="13"/>
  <c r="M20" i="13"/>
  <c r="M22" i="13"/>
  <c r="M23" i="13"/>
  <c r="M24" i="13"/>
  <c r="M25" i="13"/>
  <c r="M49" i="13"/>
  <c r="M50" i="13"/>
  <c r="M53" i="13"/>
  <c r="L53" i="13"/>
  <c r="L50" i="13"/>
  <c r="L49" i="13"/>
  <c r="L25" i="13"/>
  <c r="L24" i="13"/>
  <c r="L23" i="13"/>
  <c r="L22" i="13"/>
  <c r="L20" i="13"/>
  <c r="L19" i="13"/>
  <c r="L18" i="13"/>
  <c r="L17" i="13"/>
  <c r="L16" i="13"/>
  <c r="L15" i="13"/>
  <c r="K15" i="13"/>
  <c r="K16" i="13"/>
  <c r="K17" i="13"/>
  <c r="K18" i="13"/>
  <c r="K19" i="13"/>
  <c r="K20" i="13"/>
  <c r="K22" i="13"/>
  <c r="K23" i="13"/>
  <c r="K24" i="13"/>
  <c r="K25" i="13"/>
  <c r="K49" i="13"/>
  <c r="K50" i="13"/>
  <c r="K53" i="13"/>
  <c r="J53" i="13"/>
  <c r="J50" i="13"/>
  <c r="J49" i="13"/>
  <c r="J25" i="13"/>
  <c r="J24" i="13"/>
  <c r="J23" i="13"/>
  <c r="J22" i="13"/>
  <c r="J20" i="13"/>
  <c r="J19" i="13"/>
  <c r="J18" i="13"/>
  <c r="J17" i="13"/>
  <c r="J16" i="13"/>
  <c r="J15" i="13"/>
  <c r="I15" i="13"/>
  <c r="I16" i="13"/>
  <c r="I17" i="13"/>
  <c r="I18" i="13"/>
  <c r="I19" i="13"/>
  <c r="I20" i="13"/>
  <c r="I22" i="13"/>
  <c r="I23" i="13"/>
  <c r="I24" i="13"/>
  <c r="I25" i="13"/>
  <c r="I49" i="13"/>
  <c r="I50" i="13"/>
  <c r="I53" i="13"/>
  <c r="H53" i="13"/>
  <c r="H50" i="13"/>
  <c r="H49" i="13"/>
  <c r="H25" i="13"/>
  <c r="H24" i="13"/>
  <c r="H23" i="13"/>
  <c r="H22" i="13"/>
  <c r="H20" i="13"/>
  <c r="H19" i="13"/>
  <c r="H18" i="13"/>
  <c r="H17" i="13"/>
  <c r="H16" i="13"/>
  <c r="H15" i="13"/>
  <c r="G15" i="13"/>
  <c r="G16" i="13"/>
  <c r="G17" i="13"/>
  <c r="G18" i="13"/>
  <c r="G19" i="13"/>
  <c r="G20" i="13"/>
  <c r="G22" i="13"/>
  <c r="G23" i="13"/>
  <c r="G24" i="13"/>
  <c r="G25" i="13"/>
  <c r="G49" i="13"/>
  <c r="G50" i="13"/>
  <c r="G53" i="13"/>
  <c r="F53" i="13"/>
  <c r="F50" i="13"/>
  <c r="F49" i="13"/>
  <c r="F25" i="13"/>
  <c r="F24" i="13"/>
  <c r="F23" i="13"/>
  <c r="F22" i="13"/>
  <c r="F20" i="13"/>
  <c r="F19" i="13"/>
  <c r="F18" i="13"/>
  <c r="F17" i="13"/>
  <c r="F16" i="13"/>
  <c r="F15" i="13"/>
  <c r="E15" i="13"/>
  <c r="E16" i="13"/>
  <c r="E17" i="13"/>
  <c r="E18" i="13"/>
  <c r="E19" i="13"/>
  <c r="E20" i="13"/>
  <c r="E22" i="13"/>
  <c r="E23" i="13"/>
  <c r="E24" i="13"/>
  <c r="E25" i="13"/>
  <c r="E49" i="13"/>
  <c r="E50" i="13"/>
  <c r="E53" i="13"/>
  <c r="D53" i="13"/>
  <c r="D50" i="13"/>
  <c r="D49" i="13"/>
  <c r="D25" i="13"/>
  <c r="D24" i="13"/>
  <c r="D23" i="13"/>
  <c r="D22" i="13"/>
  <c r="D20" i="13"/>
  <c r="D19" i="13"/>
  <c r="D18" i="13"/>
  <c r="D17" i="13"/>
  <c r="D16" i="13"/>
  <c r="D15" i="13"/>
  <c r="C63" i="2"/>
  <c r="C62" i="2"/>
  <c r="C58" i="2"/>
  <c r="C57" i="2"/>
  <c r="C53" i="2"/>
  <c r="C52" i="2"/>
  <c r="C48" i="2"/>
  <c r="C47" i="2"/>
  <c r="C43" i="2"/>
  <c r="C42" i="2"/>
  <c r="C38" i="2"/>
  <c r="C37" i="2"/>
  <c r="C33" i="2"/>
  <c r="C32" i="2"/>
  <c r="C28" i="2"/>
  <c r="C27" i="2"/>
  <c r="C23" i="2"/>
  <c r="C22" i="2"/>
  <c r="C18" i="2"/>
  <c r="C17" i="2"/>
  <c r="C13" i="2"/>
  <c r="C12" i="2"/>
  <c r="C8" i="2"/>
  <c r="C7" i="2"/>
  <c r="B106" i="11"/>
  <c r="B105" i="11"/>
  <c r="B107" i="11" s="1"/>
  <c r="B104" i="11" s="1"/>
  <c r="B102" i="11"/>
  <c r="B103" i="11" s="1"/>
  <c r="B101" i="11" s="1"/>
  <c r="C99" i="11"/>
  <c r="A99" i="11"/>
  <c r="A98" i="11"/>
  <c r="B97" i="11"/>
  <c r="A97" i="11"/>
  <c r="C93" i="11"/>
  <c r="A93" i="11"/>
  <c r="B91" i="11"/>
  <c r="C90" i="11"/>
  <c r="B90" i="11"/>
  <c r="B96" i="11" s="1"/>
  <c r="A90" i="11"/>
  <c r="A96" i="11" s="1"/>
  <c r="C87" i="11"/>
  <c r="A87" i="11"/>
  <c r="C85" i="11"/>
  <c r="B85" i="11"/>
  <c r="A85" i="11"/>
  <c r="B84" i="11"/>
  <c r="C80" i="11"/>
  <c r="A80" i="11"/>
  <c r="B72" i="11"/>
  <c r="B69" i="11"/>
  <c r="B68" i="11"/>
  <c r="A67" i="11"/>
  <c r="C64" i="11"/>
  <c r="A64" i="11"/>
  <c r="B63" i="11"/>
  <c r="A63" i="11"/>
  <c r="C60" i="11"/>
  <c r="A60" i="11"/>
  <c r="C57" i="11"/>
  <c r="C61" i="11" s="1"/>
  <c r="C65" i="11" s="1"/>
  <c r="A57" i="11"/>
  <c r="A61" i="11" s="1"/>
  <c r="A65" i="11" s="1"/>
  <c r="A81" i="11" s="1"/>
  <c r="A88" i="11" s="1"/>
  <c r="A94" i="11" s="1"/>
  <c r="C56" i="11"/>
  <c r="A56" i="11"/>
  <c r="B54" i="11"/>
  <c r="C53" i="11"/>
  <c r="B53" i="11"/>
  <c r="A53" i="11"/>
  <c r="C50" i="11"/>
  <c r="A50" i="11"/>
  <c r="B38" i="11"/>
  <c r="B37" i="11"/>
  <c r="B36" i="11"/>
  <c r="B32" i="11"/>
  <c r="B31" i="11"/>
  <c r="B30" i="11"/>
  <c r="B29" i="11"/>
  <c r="B28" i="11"/>
  <c r="A27" i="11"/>
  <c r="C26" i="11"/>
  <c r="A26" i="11"/>
  <c r="B25" i="11"/>
  <c r="B39" i="11" s="1"/>
  <c r="A25" i="11"/>
  <c r="B22" i="11"/>
  <c r="B67" i="11" s="1"/>
  <c r="B73" i="11" s="1"/>
  <c r="B16" i="11"/>
  <c r="B27" i="11" s="1"/>
  <c r="B7" i="11"/>
  <c r="B99" i="11" s="1"/>
  <c r="B41" i="11" l="1"/>
  <c r="B44" i="11" s="1"/>
  <c r="B55" i="11"/>
  <c r="C81" i="11"/>
  <c r="C88" i="11" s="1"/>
  <c r="C94" i="11" s="1"/>
  <c r="C100" i="11" s="1"/>
  <c r="C69" i="11"/>
  <c r="B100" i="11"/>
  <c r="B95" i="11" s="1"/>
  <c r="B78" i="11"/>
  <c r="B74" i="11"/>
  <c r="B75" i="11" s="1"/>
  <c r="B42" i="11"/>
  <c r="A100" i="11"/>
  <c r="A103" i="11"/>
  <c r="A107" i="11" s="1"/>
  <c r="B60" i="11"/>
  <c r="B61" i="11" s="1"/>
  <c r="B58" i="11" s="1"/>
  <c r="B87" i="11"/>
  <c r="B88" i="11" s="1"/>
  <c r="B82" i="11" s="1"/>
  <c r="B26" i="11"/>
  <c r="B40" i="11" s="1"/>
  <c r="B48" i="11" s="1"/>
  <c r="B50" i="11"/>
  <c r="B56" i="11"/>
  <c r="B64" i="11"/>
  <c r="B65" i="11" s="1"/>
  <c r="B62" i="11" s="1"/>
  <c r="B80" i="11"/>
  <c r="B93" i="11"/>
  <c r="B94" i="11" s="1"/>
  <c r="B89" i="11" s="1"/>
  <c r="D2" i="13"/>
  <c r="B57" i="11" l="1"/>
  <c r="B52" i="11" s="1"/>
  <c r="B77" i="11"/>
  <c r="B76" i="11"/>
  <c r="C107" i="11"/>
  <c r="C103" i="11"/>
  <c r="B43" i="11"/>
  <c r="B45" i="11" s="1"/>
  <c r="E3" i="13"/>
  <c r="F3" i="13" s="1"/>
  <c r="G3" i="13" s="1"/>
  <c r="H3" i="13" s="1"/>
  <c r="I3" i="13" s="1"/>
  <c r="J3" i="13" s="1"/>
  <c r="K3" i="13" s="1"/>
  <c r="L3" i="13" s="1"/>
  <c r="M3" i="13" s="1"/>
  <c r="N3" i="13" s="1"/>
  <c r="O3" i="13" s="1"/>
  <c r="B10" i="13"/>
  <c r="B8" i="13"/>
  <c r="B6" i="13"/>
  <c r="B5" i="13"/>
  <c r="B4" i="13"/>
  <c r="B3" i="13"/>
  <c r="D10" i="13"/>
  <c r="E10" i="13" s="1"/>
  <c r="F10" i="13" s="1"/>
  <c r="G10" i="13" s="1"/>
  <c r="H10" i="13" s="1"/>
  <c r="I10" i="13" s="1"/>
  <c r="J10" i="13" s="1"/>
  <c r="K10" i="13" s="1"/>
  <c r="L10" i="13" s="1"/>
  <c r="M10" i="13" s="1"/>
  <c r="N10" i="13" s="1"/>
  <c r="O10" i="13" s="1"/>
  <c r="D8" i="13"/>
  <c r="E8" i="13" s="1"/>
  <c r="F8" i="13" s="1"/>
  <c r="G8" i="13" s="1"/>
  <c r="H8" i="13" s="1"/>
  <c r="I8" i="13" s="1"/>
  <c r="J8" i="13" s="1"/>
  <c r="K8" i="13" s="1"/>
  <c r="L8" i="13" s="1"/>
  <c r="M8" i="13" s="1"/>
  <c r="N8" i="13" s="1"/>
  <c r="O8" i="13" s="1"/>
  <c r="D6" i="13"/>
  <c r="E6" i="13" s="1"/>
  <c r="F6" i="13" s="1"/>
  <c r="G6" i="13" s="1"/>
  <c r="H6" i="13" s="1"/>
  <c r="I6" i="13" s="1"/>
  <c r="J6" i="13" s="1"/>
  <c r="K6" i="13" s="1"/>
  <c r="L6" i="13" s="1"/>
  <c r="M6" i="13" s="1"/>
  <c r="N6" i="13" s="1"/>
  <c r="O6" i="13" s="1"/>
  <c r="D5" i="13"/>
  <c r="E5" i="13" s="1"/>
  <c r="F5" i="13" s="1"/>
  <c r="G5" i="13" s="1"/>
  <c r="H5" i="13" s="1"/>
  <c r="I5" i="13" s="1"/>
  <c r="J5" i="13" s="1"/>
  <c r="K5" i="13" s="1"/>
  <c r="L5" i="13" s="1"/>
  <c r="M5" i="13" s="1"/>
  <c r="N5" i="13" s="1"/>
  <c r="O5" i="13" s="1"/>
  <c r="D4" i="13"/>
  <c r="E4" i="13" s="1"/>
  <c r="F4" i="13" s="1"/>
  <c r="G4" i="13" s="1"/>
  <c r="H4" i="13" s="1"/>
  <c r="I4" i="13" s="1"/>
  <c r="J4" i="13" s="1"/>
  <c r="K4" i="13" s="1"/>
  <c r="L4" i="13" s="1"/>
  <c r="M4" i="13" s="1"/>
  <c r="N4" i="13" s="1"/>
  <c r="O4" i="13" s="1"/>
  <c r="B79" i="11" l="1"/>
  <c r="B81" i="11" s="1"/>
  <c r="B66" i="11" s="1"/>
  <c r="B47" i="11"/>
  <c r="B46" i="11"/>
  <c r="B49" i="11" s="1"/>
  <c r="B51" i="11" s="1"/>
  <c r="C68" i="2"/>
  <c r="C69" i="2"/>
  <c r="E2" i="13"/>
  <c r="F2" i="13" s="1"/>
  <c r="G2" i="13" s="1"/>
  <c r="H2" i="13" s="1"/>
  <c r="D7" i="13"/>
  <c r="E7" i="13" s="1"/>
  <c r="F7" i="13" s="1"/>
  <c r="G7" i="13" s="1"/>
  <c r="H7" i="13" s="1"/>
  <c r="I7" i="13" s="1"/>
  <c r="J7" i="13" s="1"/>
  <c r="K7" i="13" s="1"/>
  <c r="L7" i="13" s="1"/>
  <c r="M7" i="13" s="1"/>
  <c r="N7" i="13" s="1"/>
  <c r="O7" i="13" s="1"/>
  <c r="D9" i="13"/>
  <c r="E9" i="13" s="1"/>
  <c r="F9" i="13" s="1"/>
  <c r="G9" i="13" s="1"/>
  <c r="H9" i="13" s="1"/>
  <c r="I9" i="13" s="1"/>
  <c r="J9" i="13" s="1"/>
  <c r="K9" i="13" s="1"/>
  <c r="L9" i="13" s="1"/>
  <c r="M9" i="13" s="1"/>
  <c r="N9" i="13" s="1"/>
  <c r="O9" i="13" s="1"/>
  <c r="B2" i="13"/>
  <c r="B7" i="13"/>
  <c r="B9" i="13"/>
  <c r="I2" i="13" l="1"/>
  <c r="J2" i="13" s="1"/>
  <c r="K2" i="13" s="1"/>
  <c r="L2" i="13" s="1"/>
  <c r="M2" i="13" s="1"/>
  <c r="N2" i="13" s="1"/>
  <c r="O2" i="13" s="1"/>
  <c r="B108" i="11"/>
  <c r="B24" i="11"/>
  <c r="B109" i="11" s="1"/>
  <c r="F76" i="13"/>
  <c r="F9" i="2"/>
  <c r="C17" i="12" l="1"/>
  <c r="I68" i="2"/>
  <c r="I69" i="2"/>
  <c r="I62" i="2"/>
  <c r="I63" i="2"/>
  <c r="I57" i="2"/>
  <c r="I58" i="2"/>
  <c r="I52" i="2"/>
  <c r="I53" i="2"/>
  <c r="I48" i="2"/>
  <c r="I43" i="2"/>
  <c r="I38" i="2"/>
  <c r="I33" i="2"/>
  <c r="I28" i="2"/>
  <c r="I23" i="2"/>
  <c r="I17" i="2"/>
  <c r="I18" i="2"/>
  <c r="I47" i="2" l="1"/>
  <c r="I42" i="2"/>
  <c r="I37" i="2"/>
  <c r="I32" i="2"/>
  <c r="I27" i="2"/>
  <c r="I22" i="2"/>
  <c r="I13" i="2"/>
  <c r="I12" i="2"/>
  <c r="D52" i="13"/>
  <c r="B12" i="12" l="1"/>
  <c r="B11" i="12"/>
  <c r="B10" i="12"/>
  <c r="B9" i="12"/>
  <c r="B8" i="12"/>
  <c r="B7" i="12"/>
  <c r="B6" i="12"/>
  <c r="B5" i="12"/>
  <c r="B4" i="12"/>
  <c r="B3" i="12"/>
  <c r="A12" i="12"/>
  <c r="A11" i="12"/>
  <c r="A10" i="12"/>
  <c r="A9" i="12"/>
  <c r="A8" i="12"/>
  <c r="A7" i="12"/>
  <c r="A6" i="12"/>
  <c r="A5" i="12"/>
  <c r="A4" i="12"/>
  <c r="A3" i="12"/>
  <c r="G59" i="2"/>
  <c r="F59" i="2"/>
  <c r="G54" i="2"/>
  <c r="F54" i="2"/>
  <c r="G49" i="2"/>
  <c r="F49" i="2"/>
  <c r="G64" i="2"/>
  <c r="F64" i="2"/>
  <c r="G44" i="2"/>
  <c r="G39" i="2"/>
  <c r="F44" i="2"/>
  <c r="F39" i="2"/>
  <c r="G34" i="2"/>
  <c r="F34" i="2"/>
  <c r="G29" i="2"/>
  <c r="F29" i="2"/>
  <c r="G24" i="2"/>
  <c r="F24" i="2"/>
  <c r="M19" i="2"/>
  <c r="G19" i="2"/>
  <c r="F19" i="2"/>
  <c r="G14" i="2"/>
  <c r="F14" i="2"/>
  <c r="G9" i="2"/>
  <c r="E52" i="13"/>
  <c r="F52" i="13"/>
  <c r="G52" i="13"/>
  <c r="H52" i="13"/>
  <c r="I52" i="13"/>
  <c r="J52" i="13"/>
  <c r="K52" i="13"/>
  <c r="L52" i="13"/>
  <c r="M52" i="13"/>
  <c r="N52" i="13"/>
  <c r="O52" i="13"/>
  <c r="O76" i="13"/>
  <c r="O74" i="13" s="1"/>
  <c r="N76" i="13"/>
  <c r="N74" i="13" s="1"/>
  <c r="M76" i="13"/>
  <c r="M74" i="13" s="1"/>
  <c r="L76" i="13"/>
  <c r="L74" i="13" s="1"/>
  <c r="O67" i="13"/>
  <c r="O71" i="13" s="1"/>
  <c r="O73" i="13" s="1"/>
  <c r="K64" i="2" s="1"/>
  <c r="N67" i="13"/>
  <c r="N71" i="13" s="1"/>
  <c r="N73" i="13" s="1"/>
  <c r="K59" i="2" s="1"/>
  <c r="M67" i="13"/>
  <c r="M71" i="13" s="1"/>
  <c r="M73" i="13" s="1"/>
  <c r="K54" i="2" s="1"/>
  <c r="L67" i="13"/>
  <c r="L71" i="13" s="1"/>
  <c r="L73" i="13" s="1"/>
  <c r="K49" i="2" s="1"/>
  <c r="O64" i="13"/>
  <c r="O65" i="13" s="1"/>
  <c r="I64" i="2" s="1"/>
  <c r="N64" i="13"/>
  <c r="N65" i="13" s="1"/>
  <c r="I59" i="2" s="1"/>
  <c r="M64" i="13"/>
  <c r="M65" i="13" s="1"/>
  <c r="I54" i="2" s="1"/>
  <c r="L64" i="13"/>
  <c r="L65" i="13" s="1"/>
  <c r="I49" i="2" s="1"/>
  <c r="O40" i="13"/>
  <c r="O42" i="13" s="1"/>
  <c r="E64" i="2" s="1"/>
  <c r="N40" i="13"/>
  <c r="N42" i="13" s="1"/>
  <c r="E59" i="2" s="1"/>
  <c r="M40" i="13"/>
  <c r="M42" i="13" s="1"/>
  <c r="E54" i="2" s="1"/>
  <c r="L40" i="13"/>
  <c r="L42" i="13" s="1"/>
  <c r="E49" i="2" s="1"/>
  <c r="O12" i="13"/>
  <c r="N12" i="13"/>
  <c r="M12" i="13"/>
  <c r="L12" i="13"/>
  <c r="L26" i="13" s="1"/>
  <c r="O48" i="13"/>
  <c r="N48" i="13"/>
  <c r="M48" i="13"/>
  <c r="L48" i="13"/>
  <c r="L54" i="13" s="1"/>
  <c r="O14" i="13"/>
  <c r="O28" i="13" s="1"/>
  <c r="O31" i="13" s="1"/>
  <c r="N14" i="13"/>
  <c r="N28" i="13" s="1"/>
  <c r="N31" i="13" s="1"/>
  <c r="M14" i="13"/>
  <c r="M28" i="13" s="1"/>
  <c r="M31" i="13" s="1"/>
  <c r="L14" i="13"/>
  <c r="L28" i="13" s="1"/>
  <c r="L31" i="13" s="1"/>
  <c r="K76" i="13"/>
  <c r="K74" i="13" s="1"/>
  <c r="J76" i="13"/>
  <c r="J74" i="13" s="1"/>
  <c r="I76" i="13"/>
  <c r="I74" i="13" s="1"/>
  <c r="H76" i="13"/>
  <c r="H74" i="13" s="1"/>
  <c r="K67" i="13"/>
  <c r="K71" i="13" s="1"/>
  <c r="K73" i="13" s="1"/>
  <c r="K44" i="2" s="1"/>
  <c r="J67" i="13"/>
  <c r="J71" i="13" s="1"/>
  <c r="J73" i="13" s="1"/>
  <c r="K39" i="2" s="1"/>
  <c r="I67" i="13"/>
  <c r="I71" i="13" s="1"/>
  <c r="I73" i="13" s="1"/>
  <c r="K34" i="2" s="1"/>
  <c r="H67" i="13"/>
  <c r="H71" i="13" s="1"/>
  <c r="H73" i="13" s="1"/>
  <c r="K29" i="2" s="1"/>
  <c r="K64" i="13"/>
  <c r="K65" i="13" s="1"/>
  <c r="I44" i="2" s="1"/>
  <c r="J64" i="13"/>
  <c r="J65" i="13" s="1"/>
  <c r="I39" i="2" s="1"/>
  <c r="I64" i="13"/>
  <c r="I65" i="13" s="1"/>
  <c r="I34" i="2" s="1"/>
  <c r="H64" i="13"/>
  <c r="H65" i="13" s="1"/>
  <c r="I29" i="2" s="1"/>
  <c r="K40" i="13"/>
  <c r="K42" i="13" s="1"/>
  <c r="E44" i="2" s="1"/>
  <c r="J40" i="13"/>
  <c r="J42" i="13" s="1"/>
  <c r="E39" i="2" s="1"/>
  <c r="I40" i="13"/>
  <c r="I42" i="13" s="1"/>
  <c r="E34" i="2" s="1"/>
  <c r="H40" i="13"/>
  <c r="H42" i="13" s="1"/>
  <c r="E29" i="2" s="1"/>
  <c r="K12" i="13"/>
  <c r="K26" i="13" s="1"/>
  <c r="J12" i="13"/>
  <c r="J26" i="13" s="1"/>
  <c r="I12" i="13"/>
  <c r="I26" i="13" s="1"/>
  <c r="H12" i="13"/>
  <c r="H26" i="13" s="1"/>
  <c r="K48" i="13"/>
  <c r="K54" i="13" s="1"/>
  <c r="J48" i="13"/>
  <c r="J54" i="13" s="1"/>
  <c r="I48" i="13"/>
  <c r="I54" i="13" s="1"/>
  <c r="H48" i="13"/>
  <c r="H54" i="13" s="1"/>
  <c r="K14" i="13"/>
  <c r="K28" i="13" s="1"/>
  <c r="K31" i="13" s="1"/>
  <c r="J14" i="13"/>
  <c r="J28" i="13" s="1"/>
  <c r="J31" i="13" s="1"/>
  <c r="I14" i="13"/>
  <c r="I28" i="13" s="1"/>
  <c r="I31" i="13" s="1"/>
  <c r="H14" i="13"/>
  <c r="H28" i="13" s="1"/>
  <c r="H31" i="13" s="1"/>
  <c r="G76" i="13"/>
  <c r="G74" i="13" s="1"/>
  <c r="G67" i="13"/>
  <c r="G64" i="13"/>
  <c r="G65" i="13" s="1"/>
  <c r="I24" i="2" s="1"/>
  <c r="G40" i="13"/>
  <c r="G42" i="13" s="1"/>
  <c r="E24" i="2" s="1"/>
  <c r="G12" i="13"/>
  <c r="G48" i="13"/>
  <c r="G54" i="13" s="1"/>
  <c r="G14" i="13"/>
  <c r="F74" i="13"/>
  <c r="F67" i="13"/>
  <c r="F71" i="13" s="1"/>
  <c r="F73" i="13" s="1"/>
  <c r="K19" i="2" s="1"/>
  <c r="F64" i="13"/>
  <c r="F65" i="13" s="1"/>
  <c r="I19" i="2" s="1"/>
  <c r="F40" i="13"/>
  <c r="F42" i="13" s="1"/>
  <c r="E19" i="2" s="1"/>
  <c r="F12" i="13"/>
  <c r="F48" i="13"/>
  <c r="F54" i="13" s="1"/>
  <c r="F14" i="13"/>
  <c r="E76" i="13"/>
  <c r="E74" i="13" s="1"/>
  <c r="E67" i="13"/>
  <c r="E69" i="13" s="1"/>
  <c r="E64" i="13"/>
  <c r="I14" i="2" s="1"/>
  <c r="E40" i="13"/>
  <c r="E42" i="13" s="1"/>
  <c r="E14" i="2" s="1"/>
  <c r="E12" i="13"/>
  <c r="E48" i="13"/>
  <c r="E54" i="13" s="1"/>
  <c r="E14" i="13"/>
  <c r="D76" i="13"/>
  <c r="D74" i="13" s="1"/>
  <c r="D67" i="13"/>
  <c r="D69" i="13" s="1"/>
  <c r="J9" i="2" s="1"/>
  <c r="D64" i="13"/>
  <c r="D65" i="13" s="1"/>
  <c r="I9" i="2" s="1"/>
  <c r="D40" i="13"/>
  <c r="D42" i="13" s="1"/>
  <c r="E9" i="2" s="1"/>
  <c r="D12" i="13"/>
  <c r="D48" i="13"/>
  <c r="D14" i="13"/>
  <c r="D28" i="13" s="1"/>
  <c r="N5" i="2"/>
  <c r="M4" i="2"/>
  <c r="K4" i="2"/>
  <c r="J4" i="2"/>
  <c r="I4" i="2"/>
  <c r="H4" i="2"/>
  <c r="G4" i="2"/>
  <c r="F4" i="2"/>
  <c r="E4" i="2"/>
  <c r="D4" i="2"/>
  <c r="M2" i="2"/>
  <c r="K2" i="2"/>
  <c r="J2" i="2"/>
  <c r="I2" i="2"/>
  <c r="H2" i="2"/>
  <c r="G2" i="2"/>
  <c r="F2" i="2"/>
  <c r="E2" i="2"/>
  <c r="D2" i="2"/>
  <c r="C4" i="2"/>
  <c r="B75" i="13"/>
  <c r="B76" i="13" s="1"/>
  <c r="B74" i="13" s="1"/>
  <c r="B72" i="13"/>
  <c r="A72" i="13"/>
  <c r="B68" i="13"/>
  <c r="C67" i="13"/>
  <c r="B67" i="13"/>
  <c r="B71" i="13" s="1"/>
  <c r="A67" i="13"/>
  <c r="A71" i="13" s="1"/>
  <c r="C64" i="13"/>
  <c r="B64" i="13"/>
  <c r="A64" i="13"/>
  <c r="B63" i="13"/>
  <c r="B53" i="13"/>
  <c r="B50" i="13"/>
  <c r="B49" i="13"/>
  <c r="A48" i="13"/>
  <c r="B46" i="13"/>
  <c r="A46" i="13"/>
  <c r="A69" i="13"/>
  <c r="B41" i="13"/>
  <c r="C40" i="13"/>
  <c r="B40" i="13"/>
  <c r="A40" i="13"/>
  <c r="C37" i="13"/>
  <c r="A37" i="13"/>
  <c r="B25" i="13"/>
  <c r="B24" i="13"/>
  <c r="B23" i="13"/>
  <c r="B19" i="13"/>
  <c r="B18" i="13"/>
  <c r="B17" i="13"/>
  <c r="B16" i="13"/>
  <c r="B15" i="13"/>
  <c r="A14" i="13"/>
  <c r="C13" i="13"/>
  <c r="A13" i="13"/>
  <c r="B12" i="13"/>
  <c r="B26" i="13" s="1"/>
  <c r="A12" i="13"/>
  <c r="B48" i="13"/>
  <c r="B14" i="13"/>
  <c r="M64" i="2" l="1"/>
  <c r="M59" i="2"/>
  <c r="M54" i="2"/>
  <c r="B13" i="12"/>
  <c r="G71" i="13"/>
  <c r="G73" i="13" s="1"/>
  <c r="K24" i="2" s="1"/>
  <c r="G69" i="13"/>
  <c r="I70" i="2"/>
  <c r="C8" i="12" s="1"/>
  <c r="E70" i="2"/>
  <c r="C4" i="12" s="1"/>
  <c r="E66" i="2"/>
  <c r="F70" i="2"/>
  <c r="C5" i="12" s="1"/>
  <c r="M9" i="2"/>
  <c r="M49" i="2"/>
  <c r="M44" i="2"/>
  <c r="M39" i="2"/>
  <c r="M34" i="2"/>
  <c r="M29" i="2"/>
  <c r="M24" i="2"/>
  <c r="M14" i="2"/>
  <c r="G70" i="2"/>
  <c r="C6" i="12" s="1"/>
  <c r="O69" i="13"/>
  <c r="J64" i="2" s="1"/>
  <c r="M69" i="13"/>
  <c r="J54" i="2" s="1"/>
  <c r="K69" i="13"/>
  <c r="J44" i="2" s="1"/>
  <c r="I69" i="13"/>
  <c r="J34" i="2" s="1"/>
  <c r="J24" i="2"/>
  <c r="N69" i="13"/>
  <c r="J59" i="2" s="1"/>
  <c r="L69" i="13"/>
  <c r="J49" i="2" s="1"/>
  <c r="J69" i="13"/>
  <c r="J39" i="2" s="1"/>
  <c r="H69" i="13"/>
  <c r="J29" i="2" s="1"/>
  <c r="F69" i="13"/>
  <c r="F66" i="13" s="1"/>
  <c r="B54" i="13"/>
  <c r="B55" i="13" s="1"/>
  <c r="B56" i="13" s="1"/>
  <c r="G28" i="13"/>
  <c r="G31" i="13" s="1"/>
  <c r="G26" i="13"/>
  <c r="G29" i="13" s="1"/>
  <c r="D54" i="13"/>
  <c r="D59" i="13" s="1"/>
  <c r="F28" i="13"/>
  <c r="F31" i="13" s="1"/>
  <c r="F26" i="13"/>
  <c r="F29" i="13" s="1"/>
  <c r="E28" i="13"/>
  <c r="E31" i="13" s="1"/>
  <c r="M70" i="13"/>
  <c r="O70" i="13"/>
  <c r="L59" i="13"/>
  <c r="L55" i="13"/>
  <c r="L56" i="13" s="1"/>
  <c r="L29" i="13"/>
  <c r="L70" i="13"/>
  <c r="N70" i="13"/>
  <c r="M13" i="13"/>
  <c r="O13" i="13"/>
  <c r="M37" i="13"/>
  <c r="O37" i="13"/>
  <c r="L13" i="13"/>
  <c r="L27" i="13" s="1"/>
  <c r="L35" i="13" s="1"/>
  <c r="N13" i="13"/>
  <c r="L37" i="13"/>
  <c r="N37" i="13"/>
  <c r="N66" i="13"/>
  <c r="I59" i="13"/>
  <c r="I55" i="13"/>
  <c r="I56" i="13" s="1"/>
  <c r="K59" i="13"/>
  <c r="K55" i="13"/>
  <c r="K56" i="13" s="1"/>
  <c r="I29" i="13"/>
  <c r="K29" i="13"/>
  <c r="I70" i="13"/>
  <c r="K70" i="13"/>
  <c r="H59" i="13"/>
  <c r="H55" i="13"/>
  <c r="H56" i="13" s="1"/>
  <c r="J59" i="13"/>
  <c r="J55" i="13"/>
  <c r="J56" i="13" s="1"/>
  <c r="H29" i="13"/>
  <c r="J29" i="13"/>
  <c r="H70" i="13"/>
  <c r="J70" i="13"/>
  <c r="I13" i="13"/>
  <c r="I27" i="13" s="1"/>
  <c r="I35" i="13" s="1"/>
  <c r="K13" i="13"/>
  <c r="K27" i="13" s="1"/>
  <c r="K30" i="13" s="1"/>
  <c r="I37" i="13"/>
  <c r="K37" i="13"/>
  <c r="I66" i="13"/>
  <c r="K66" i="13"/>
  <c r="H13" i="13"/>
  <c r="H27" i="13" s="1"/>
  <c r="H35" i="13" s="1"/>
  <c r="J13" i="13"/>
  <c r="J27" i="13" s="1"/>
  <c r="J30" i="13" s="1"/>
  <c r="H37" i="13"/>
  <c r="J37" i="13"/>
  <c r="J66" i="13"/>
  <c r="G59" i="13"/>
  <c r="G55" i="13"/>
  <c r="G56" i="13" s="1"/>
  <c r="G37" i="13"/>
  <c r="G70" i="13"/>
  <c r="G13" i="13"/>
  <c r="G27" i="13" s="1"/>
  <c r="F59" i="13"/>
  <c r="F55" i="13"/>
  <c r="F56" i="13" s="1"/>
  <c r="F37" i="13"/>
  <c r="F70" i="13"/>
  <c r="F13" i="13"/>
  <c r="F27" i="13" s="1"/>
  <c r="F30" i="13" s="1"/>
  <c r="B28" i="13"/>
  <c r="B31" i="13" s="1"/>
  <c r="E26" i="13"/>
  <c r="E29" i="13" s="1"/>
  <c r="B42" i="13"/>
  <c r="D31" i="13"/>
  <c r="D26" i="13"/>
  <c r="D29" i="13" s="1"/>
  <c r="E66" i="13"/>
  <c r="E59" i="13"/>
  <c r="E55" i="13"/>
  <c r="E56" i="13" s="1"/>
  <c r="E71" i="13"/>
  <c r="E73" i="13" s="1"/>
  <c r="K14" i="2" s="1"/>
  <c r="E13" i="13"/>
  <c r="E27" i="13" s="1"/>
  <c r="E37" i="13"/>
  <c r="D66" i="13"/>
  <c r="D71" i="13"/>
  <c r="D73" i="13" s="1"/>
  <c r="K9" i="2" s="1"/>
  <c r="D13" i="13"/>
  <c r="D27" i="13" s="1"/>
  <c r="D37" i="13"/>
  <c r="L4" i="2"/>
  <c r="B13" i="13"/>
  <c r="B27" i="13" s="1"/>
  <c r="B30" i="13" s="1"/>
  <c r="C69" i="13"/>
  <c r="C73" i="13" s="1"/>
  <c r="C50" i="13"/>
  <c r="B70" i="13"/>
  <c r="B29" i="13"/>
  <c r="A73" i="13"/>
  <c r="A76" i="13"/>
  <c r="B37" i="13"/>
  <c r="B66" i="13"/>
  <c r="D55" i="13" l="1"/>
  <c r="D56" i="13" s="1"/>
  <c r="D58" i="13" s="1"/>
  <c r="O66" i="13"/>
  <c r="H66" i="13"/>
  <c r="L66" i="13"/>
  <c r="M70" i="2"/>
  <c r="C11" i="12" s="1"/>
  <c r="M66" i="2"/>
  <c r="M66" i="13"/>
  <c r="K70" i="2"/>
  <c r="C10" i="12" s="1"/>
  <c r="N4" i="2"/>
  <c r="G5" i="2" s="1"/>
  <c r="G68" i="2" s="1"/>
  <c r="E5" i="2"/>
  <c r="F5" i="2"/>
  <c r="J19" i="2"/>
  <c r="J14" i="2"/>
  <c r="B59" i="13"/>
  <c r="B35" i="13"/>
  <c r="G62" i="2"/>
  <c r="G52" i="2"/>
  <c r="G38" i="2"/>
  <c r="G28" i="2"/>
  <c r="G18" i="2"/>
  <c r="G63" i="2"/>
  <c r="G53" i="2"/>
  <c r="G48" i="2"/>
  <c r="G42" i="2"/>
  <c r="G32" i="2"/>
  <c r="G22" i="2"/>
  <c r="G12" i="2"/>
  <c r="D5" i="2"/>
  <c r="G66" i="13"/>
  <c r="J66" i="2"/>
  <c r="G35" i="13"/>
  <c r="D35" i="13"/>
  <c r="G66" i="2"/>
  <c r="K66" i="2"/>
  <c r="F66" i="2"/>
  <c r="E35" i="13"/>
  <c r="L30" i="13"/>
  <c r="L32" i="13" s="1"/>
  <c r="L58" i="13"/>
  <c r="L57" i="13"/>
  <c r="H30" i="13"/>
  <c r="H32" i="13" s="1"/>
  <c r="J35" i="13"/>
  <c r="I30" i="13"/>
  <c r="I32" i="13" s="1"/>
  <c r="K35" i="13"/>
  <c r="J58" i="13"/>
  <c r="J57" i="13"/>
  <c r="H58" i="13"/>
  <c r="H57" i="13"/>
  <c r="K58" i="13"/>
  <c r="K57" i="13"/>
  <c r="I58" i="13"/>
  <c r="I57" i="13"/>
  <c r="J32" i="13"/>
  <c r="K32" i="13"/>
  <c r="G30" i="13"/>
  <c r="G32" i="13" s="1"/>
  <c r="G57" i="13"/>
  <c r="G58" i="13"/>
  <c r="F57" i="13"/>
  <c r="F58" i="13"/>
  <c r="F35" i="13"/>
  <c r="F32" i="13"/>
  <c r="E70" i="13"/>
  <c r="E30" i="13"/>
  <c r="E32" i="13" s="1"/>
  <c r="E57" i="13"/>
  <c r="E58" i="13"/>
  <c r="D70" i="13"/>
  <c r="D30" i="13"/>
  <c r="D32" i="13" s="1"/>
  <c r="D57" i="13"/>
  <c r="B32" i="13"/>
  <c r="B34" i="13" s="1"/>
  <c r="C76" i="13"/>
  <c r="B58" i="13"/>
  <c r="B57" i="13"/>
  <c r="M5" i="2" l="1"/>
  <c r="M68" i="2" s="1"/>
  <c r="G13" i="2"/>
  <c r="G27" i="2"/>
  <c r="G37" i="2"/>
  <c r="G47" i="2"/>
  <c r="G17" i="2"/>
  <c r="G58" i="2"/>
  <c r="G69" i="2"/>
  <c r="G71" i="2" s="1"/>
  <c r="G23" i="2"/>
  <c r="G33" i="2"/>
  <c r="G43" i="2"/>
  <c r="G57" i="2"/>
  <c r="J5" i="2"/>
  <c r="J69" i="2" s="1"/>
  <c r="K5" i="2"/>
  <c r="J70" i="2"/>
  <c r="C9" i="12" s="1"/>
  <c r="H5" i="2"/>
  <c r="L5" i="2"/>
  <c r="D69" i="2"/>
  <c r="D63" i="2"/>
  <c r="D58" i="2"/>
  <c r="D53" i="2"/>
  <c r="D47" i="2"/>
  <c r="D42" i="2"/>
  <c r="D37" i="2"/>
  <c r="D32" i="2"/>
  <c r="D27" i="2"/>
  <c r="D22" i="2"/>
  <c r="D17" i="2"/>
  <c r="D13" i="2"/>
  <c r="D68" i="2"/>
  <c r="D62" i="2"/>
  <c r="D57" i="2"/>
  <c r="D52" i="2"/>
  <c r="D18" i="2"/>
  <c r="D12" i="2"/>
  <c r="D48" i="2"/>
  <c r="D43" i="2"/>
  <c r="D38" i="2"/>
  <c r="D33" i="2"/>
  <c r="D28" i="2"/>
  <c r="D23" i="2"/>
  <c r="M62" i="2"/>
  <c r="M52" i="2"/>
  <c r="M69" i="2"/>
  <c r="M71" i="2" s="1"/>
  <c r="M58" i="2"/>
  <c r="M48" i="2"/>
  <c r="M38" i="2"/>
  <c r="M28" i="2"/>
  <c r="M17" i="2"/>
  <c r="M42" i="2"/>
  <c r="M32" i="2"/>
  <c r="M22" i="2"/>
  <c r="M12" i="2"/>
  <c r="K68" i="2"/>
  <c r="K62" i="2"/>
  <c r="K57" i="2"/>
  <c r="K52" i="2"/>
  <c r="K48" i="2"/>
  <c r="K43" i="2"/>
  <c r="K38" i="2"/>
  <c r="K33" i="2"/>
  <c r="K28" i="2"/>
  <c r="K23" i="2"/>
  <c r="K18" i="2"/>
  <c r="K69" i="2"/>
  <c r="K63" i="2"/>
  <c r="K58" i="2"/>
  <c r="K53" i="2"/>
  <c r="K17" i="2"/>
  <c r="K47" i="2"/>
  <c r="K42" i="2"/>
  <c r="K37" i="2"/>
  <c r="K32" i="2"/>
  <c r="K27" i="2"/>
  <c r="K22" i="2"/>
  <c r="K13" i="2"/>
  <c r="K12" i="2"/>
  <c r="J63" i="2"/>
  <c r="J53" i="2"/>
  <c r="J17" i="2"/>
  <c r="J62" i="2"/>
  <c r="J52" i="2"/>
  <c r="J37" i="2"/>
  <c r="J27" i="2"/>
  <c r="J18" i="2"/>
  <c r="J48" i="2"/>
  <c r="J38" i="2"/>
  <c r="J28" i="2"/>
  <c r="J12" i="2"/>
  <c r="H69" i="2"/>
  <c r="H63" i="2"/>
  <c r="H58" i="2"/>
  <c r="H53" i="2"/>
  <c r="H42" i="2"/>
  <c r="H37" i="2"/>
  <c r="H32" i="2"/>
  <c r="H27" i="2"/>
  <c r="H22" i="2"/>
  <c r="H17" i="2"/>
  <c r="H68" i="2"/>
  <c r="H62" i="2"/>
  <c r="H57" i="2"/>
  <c r="H52" i="2"/>
  <c r="H47" i="2"/>
  <c r="H18" i="2"/>
  <c r="H48" i="2"/>
  <c r="H43" i="2"/>
  <c r="H38" i="2"/>
  <c r="H33" i="2"/>
  <c r="H28" i="2"/>
  <c r="H23" i="2"/>
  <c r="H13" i="2"/>
  <c r="H12" i="2"/>
  <c r="E68" i="2"/>
  <c r="E62" i="2"/>
  <c r="E57" i="2"/>
  <c r="E52" i="2"/>
  <c r="E48" i="2"/>
  <c r="E18" i="2"/>
  <c r="E69" i="2"/>
  <c r="E71" i="2" s="1"/>
  <c r="E63" i="2"/>
  <c r="E58" i="2"/>
  <c r="E53" i="2"/>
  <c r="E43" i="2"/>
  <c r="E38" i="2"/>
  <c r="E33" i="2"/>
  <c r="E28" i="2"/>
  <c r="E23" i="2"/>
  <c r="E17" i="2"/>
  <c r="E42" i="2"/>
  <c r="E27" i="2"/>
  <c r="E37" i="2"/>
  <c r="E13" i="2"/>
  <c r="E47" i="2"/>
  <c r="E22" i="2"/>
  <c r="E32" i="2"/>
  <c r="E12" i="2"/>
  <c r="F69" i="2"/>
  <c r="F63" i="2"/>
  <c r="F58" i="2"/>
  <c r="F53" i="2"/>
  <c r="F47" i="2"/>
  <c r="F17" i="2"/>
  <c r="F68" i="2"/>
  <c r="F62" i="2"/>
  <c r="F57" i="2"/>
  <c r="F52" i="2"/>
  <c r="F42" i="2"/>
  <c r="F37" i="2"/>
  <c r="F32" i="2"/>
  <c r="F27" i="2"/>
  <c r="F22" i="2"/>
  <c r="F18" i="2"/>
  <c r="F23" i="2"/>
  <c r="F33" i="2"/>
  <c r="F12" i="2"/>
  <c r="F48" i="2"/>
  <c r="F13" i="2"/>
  <c r="F28" i="2"/>
  <c r="F38" i="2"/>
  <c r="F43" i="2"/>
  <c r="F71" i="2"/>
  <c r="I60" i="13"/>
  <c r="H34" i="2" s="1"/>
  <c r="K60" i="13"/>
  <c r="H44" i="2" s="1"/>
  <c r="H60" i="13"/>
  <c r="H29" i="2" s="1"/>
  <c r="J60" i="13"/>
  <c r="H39" i="2" s="1"/>
  <c r="L60" i="13"/>
  <c r="H49" i="2" s="1"/>
  <c r="B60" i="13"/>
  <c r="B33" i="13"/>
  <c r="B36" i="13" s="1"/>
  <c r="B38" i="13" s="1"/>
  <c r="B11" i="13" s="1"/>
  <c r="E60" i="13"/>
  <c r="H14" i="2" s="1"/>
  <c r="F60" i="13"/>
  <c r="H19" i="2" s="1"/>
  <c r="G60" i="13"/>
  <c r="H24" i="2" s="1"/>
  <c r="L34" i="13"/>
  <c r="L33" i="13"/>
  <c r="K34" i="13"/>
  <c r="K33" i="13"/>
  <c r="J34" i="13"/>
  <c r="J33" i="13"/>
  <c r="I34" i="13"/>
  <c r="I33" i="13"/>
  <c r="H34" i="13"/>
  <c r="H33" i="13"/>
  <c r="G34" i="13"/>
  <c r="G33" i="13"/>
  <c r="F34" i="13"/>
  <c r="F33" i="13"/>
  <c r="D60" i="13"/>
  <c r="H9" i="2" s="1"/>
  <c r="E33" i="13"/>
  <c r="E34" i="13"/>
  <c r="D33" i="13"/>
  <c r="D34" i="13"/>
  <c r="G7" i="2"/>
  <c r="G8" i="2"/>
  <c r="E7" i="2"/>
  <c r="E8" i="2"/>
  <c r="F8" i="2"/>
  <c r="F7" i="2"/>
  <c r="K7" i="2"/>
  <c r="K8" i="2"/>
  <c r="K10" i="2" s="1"/>
  <c r="H8" i="2"/>
  <c r="H7" i="2"/>
  <c r="I7" i="2"/>
  <c r="I8" i="2"/>
  <c r="J8" i="2"/>
  <c r="J71" i="2" l="1"/>
  <c r="J7" i="2"/>
  <c r="J23" i="2"/>
  <c r="J33" i="2"/>
  <c r="J43" i="2"/>
  <c r="J13" i="2"/>
  <c r="J22" i="2"/>
  <c r="J32" i="2"/>
  <c r="J42" i="2"/>
  <c r="J57" i="2"/>
  <c r="J68" i="2"/>
  <c r="J47" i="2"/>
  <c r="J58" i="2"/>
  <c r="M13" i="2"/>
  <c r="M27" i="2"/>
  <c r="M37" i="2"/>
  <c r="M47" i="2"/>
  <c r="M23" i="2"/>
  <c r="M33" i="2"/>
  <c r="M43" i="2"/>
  <c r="M53" i="2"/>
  <c r="M63" i="2"/>
  <c r="M18" i="2"/>
  <c r="M57" i="2"/>
  <c r="L69" i="2"/>
  <c r="L63" i="2"/>
  <c r="L58" i="2"/>
  <c r="L53" i="2"/>
  <c r="L42" i="2"/>
  <c r="L37" i="2"/>
  <c r="L32" i="2"/>
  <c r="L27" i="2"/>
  <c r="L22" i="2"/>
  <c r="L17" i="2"/>
  <c r="L68" i="2"/>
  <c r="L62" i="2"/>
  <c r="L57" i="2"/>
  <c r="L52" i="2"/>
  <c r="L47" i="2"/>
  <c r="L18" i="2"/>
  <c r="L48" i="2"/>
  <c r="L43" i="2"/>
  <c r="L38" i="2"/>
  <c r="L33" i="2"/>
  <c r="L28" i="2"/>
  <c r="L23" i="2"/>
  <c r="L13" i="2"/>
  <c r="L12" i="2"/>
  <c r="L36" i="13"/>
  <c r="D49" i="2" s="1"/>
  <c r="L49" i="2" s="1"/>
  <c r="K36" i="13"/>
  <c r="D44" i="2" s="1"/>
  <c r="J36" i="13"/>
  <c r="J38" i="13" s="1"/>
  <c r="J11" i="13" s="1"/>
  <c r="I36" i="13"/>
  <c r="I38" i="13" s="1"/>
  <c r="I11" i="13" s="1"/>
  <c r="H36" i="13"/>
  <c r="H38" i="13" s="1"/>
  <c r="H11" i="13" s="1"/>
  <c r="G36" i="13"/>
  <c r="D24" i="2" s="1"/>
  <c r="L24" i="2" s="1"/>
  <c r="F36" i="13"/>
  <c r="F38" i="13" s="1"/>
  <c r="F11" i="13" s="1"/>
  <c r="K15" i="2"/>
  <c r="K71" i="2"/>
  <c r="D36" i="13"/>
  <c r="E36" i="13"/>
  <c r="L38" i="13" l="1"/>
  <c r="L11" i="13" s="1"/>
  <c r="G38" i="13"/>
  <c r="G11" i="13" s="1"/>
  <c r="K38" i="13"/>
  <c r="K11" i="13" s="1"/>
  <c r="D39" i="2"/>
  <c r="L39" i="2" s="1"/>
  <c r="N39" i="2" s="1"/>
  <c r="N40" i="2" s="1"/>
  <c r="D34" i="2"/>
  <c r="L34" i="2" s="1"/>
  <c r="C34" i="2" s="1"/>
  <c r="C35" i="2" s="1"/>
  <c r="D29" i="2"/>
  <c r="L29" i="2" s="1"/>
  <c r="N29" i="2" s="1"/>
  <c r="N30" i="2" s="1"/>
  <c r="D19" i="2"/>
  <c r="L19" i="2" s="1"/>
  <c r="C19" i="2" s="1"/>
  <c r="C20" i="2" s="1"/>
  <c r="E38" i="13"/>
  <c r="E11" i="13" s="1"/>
  <c r="D14" i="2"/>
  <c r="L14" i="2" s="1"/>
  <c r="C24" i="2"/>
  <c r="C25" i="2" s="1"/>
  <c r="N24" i="2"/>
  <c r="N25" i="2" s="1"/>
  <c r="C49" i="2"/>
  <c r="C50" i="2" s="1"/>
  <c r="N49" i="2"/>
  <c r="N50" i="2" s="1"/>
  <c r="D38" i="13"/>
  <c r="D9" i="2"/>
  <c r="L9" i="2" s="1"/>
  <c r="K20" i="2"/>
  <c r="C18" i="12"/>
  <c r="C39" i="2" l="1"/>
  <c r="C40" i="2" s="1"/>
  <c r="N34" i="2"/>
  <c r="N35" i="2" s="1"/>
  <c r="C29" i="2"/>
  <c r="C30" i="2" s="1"/>
  <c r="N19" i="2"/>
  <c r="N20" i="2" s="1"/>
  <c r="C14" i="2"/>
  <c r="C15" i="2" s="1"/>
  <c r="N14" i="2"/>
  <c r="N15" i="2" s="1"/>
  <c r="N9" i="2"/>
  <c r="N10" i="2" s="1"/>
  <c r="D11" i="13"/>
  <c r="C9" i="2"/>
  <c r="K25" i="2"/>
  <c r="K30" i="2" l="1"/>
  <c r="K35" i="2" l="1"/>
  <c r="K40" i="2" l="1"/>
  <c r="K45" i="2" l="1"/>
  <c r="C10" i="2"/>
  <c r="K50" i="2" l="1"/>
  <c r="M7" i="2" l="1"/>
  <c r="M8" i="2"/>
  <c r="M10" i="2" s="1"/>
  <c r="K55" i="2"/>
  <c r="L8" i="2"/>
  <c r="L10" i="2" s="1"/>
  <c r="O5" i="2"/>
  <c r="L7" i="2"/>
  <c r="D7" i="2"/>
  <c r="D8" i="2"/>
  <c r="D10" i="2" s="1"/>
  <c r="H10" i="2"/>
  <c r="I10" i="2"/>
  <c r="F10" i="2"/>
  <c r="E10" i="2"/>
  <c r="J10" i="2"/>
  <c r="G10" i="2"/>
  <c r="N7" i="2" l="1"/>
  <c r="G15" i="2"/>
  <c r="I15" i="2"/>
  <c r="J15" i="2"/>
  <c r="F15" i="2"/>
  <c r="M15" i="2"/>
  <c r="E15" i="2"/>
  <c r="D15" i="2"/>
  <c r="L15" i="2"/>
  <c r="N12" i="2"/>
  <c r="H15" i="2"/>
  <c r="K60" i="2"/>
  <c r="K65" i="2" l="1"/>
  <c r="L20" i="2"/>
  <c r="D20" i="2"/>
  <c r="E20" i="2"/>
  <c r="M20" i="2"/>
  <c r="H20" i="2"/>
  <c r="F20" i="2"/>
  <c r="J20" i="2"/>
  <c r="I20" i="2"/>
  <c r="G20" i="2"/>
  <c r="G25" i="2" l="1"/>
  <c r="J25" i="2"/>
  <c r="F25" i="2"/>
  <c r="H25" i="2"/>
  <c r="M25" i="2"/>
  <c r="E25" i="2"/>
  <c r="D25" i="2"/>
  <c r="L25" i="2"/>
  <c r="I25" i="2"/>
  <c r="N17" i="2"/>
  <c r="M30" i="2" l="1"/>
  <c r="F30" i="2"/>
  <c r="G30" i="2"/>
  <c r="I30" i="2"/>
  <c r="L30" i="2"/>
  <c r="D30" i="2"/>
  <c r="E30" i="2"/>
  <c r="H30" i="2"/>
  <c r="J30" i="2"/>
  <c r="N22" i="2"/>
  <c r="L35" i="2" l="1"/>
  <c r="I35" i="2"/>
  <c r="G35" i="2"/>
  <c r="F35" i="2"/>
  <c r="M35" i="2"/>
  <c r="N32" i="2"/>
  <c r="J35" i="2"/>
  <c r="H35" i="2"/>
  <c r="E35" i="2"/>
  <c r="D35" i="2"/>
  <c r="N27" i="2"/>
  <c r="E40" i="2" l="1"/>
  <c r="J40" i="2"/>
  <c r="F40" i="2"/>
  <c r="I40" i="2"/>
  <c r="L40" i="2"/>
  <c r="D40" i="2"/>
  <c r="H40" i="2"/>
  <c r="M40" i="2"/>
  <c r="N37" i="2"/>
  <c r="G40" i="2"/>
  <c r="F45" i="2" l="1"/>
  <c r="J45" i="2"/>
  <c r="E45" i="2"/>
  <c r="G45" i="2"/>
  <c r="M45" i="2"/>
  <c r="H45" i="2"/>
  <c r="D45" i="2"/>
  <c r="H50" i="2" l="1"/>
  <c r="G50" i="2"/>
  <c r="J50" i="2"/>
  <c r="D50" i="2"/>
  <c r="M50" i="2"/>
  <c r="E50" i="2"/>
  <c r="F50" i="2"/>
  <c r="N42" i="2"/>
  <c r="J55" i="2" l="1"/>
  <c r="G55" i="2"/>
  <c r="F55" i="2"/>
  <c r="E55" i="2"/>
  <c r="M55" i="2"/>
  <c r="M60" i="2" l="1"/>
  <c r="F60" i="2"/>
  <c r="G60" i="2"/>
  <c r="E60" i="2"/>
  <c r="J60" i="2"/>
  <c r="G65" i="2" l="1"/>
  <c r="F65" i="2"/>
  <c r="M65" i="2"/>
  <c r="J65" i="2"/>
  <c r="E65" i="2"/>
  <c r="I66" i="2"/>
  <c r="N68" i="2" s="1"/>
  <c r="I45" i="2"/>
  <c r="L44" i="2"/>
  <c r="N44" i="2" l="1"/>
  <c r="N45" i="2" s="1"/>
  <c r="L45" i="2"/>
  <c r="I50" i="2"/>
  <c r="C44" i="2"/>
  <c r="C45" i="2" l="1"/>
  <c r="I71" i="2"/>
  <c r="N47" i="2"/>
  <c r="L50" i="2"/>
  <c r="I55" i="2"/>
  <c r="I60" i="2" l="1"/>
  <c r="N52" i="2"/>
  <c r="N57" i="2" l="1"/>
  <c r="I65" i="2"/>
  <c r="N62" i="2" l="1"/>
  <c r="M26" i="13" l="1"/>
  <c r="N26" i="13"/>
  <c r="O26" i="13"/>
  <c r="M27" i="13"/>
  <c r="M30" i="13" s="1"/>
  <c r="N27" i="13"/>
  <c r="N30" i="13" s="1"/>
  <c r="O27" i="13"/>
  <c r="O30" i="13" s="1"/>
  <c r="M54" i="13"/>
  <c r="N54" i="13"/>
  <c r="O54" i="13"/>
  <c r="O29" i="13" l="1"/>
  <c r="O32" i="13" s="1"/>
  <c r="O35" i="13"/>
  <c r="N29" i="13"/>
  <c r="N32" i="13" s="1"/>
  <c r="N35" i="13"/>
  <c r="M29" i="13"/>
  <c r="M32" i="13" s="1"/>
  <c r="M35" i="13"/>
  <c r="O55" i="13"/>
  <c r="O56" i="13" s="1"/>
  <c r="O59" i="13"/>
  <c r="N55" i="13"/>
  <c r="N56" i="13" s="1"/>
  <c r="N59" i="13"/>
  <c r="M55" i="13"/>
  <c r="M56" i="13" s="1"/>
  <c r="M59" i="13"/>
  <c r="O33" i="13" l="1"/>
  <c r="O34" i="13"/>
  <c r="N33" i="13"/>
  <c r="N34" i="13"/>
  <c r="M34" i="13"/>
  <c r="M33" i="13"/>
  <c r="O57" i="13"/>
  <c r="O58" i="13"/>
  <c r="N57" i="13"/>
  <c r="N58" i="13"/>
  <c r="M57" i="13"/>
  <c r="M58" i="13"/>
  <c r="M60" i="13" l="1"/>
  <c r="H54" i="2" s="1"/>
  <c r="N60" i="13"/>
  <c r="H59" i="2" s="1"/>
  <c r="O60" i="13"/>
  <c r="H64" i="2" s="1"/>
  <c r="M36" i="13"/>
  <c r="M38" i="13" s="1"/>
  <c r="M11" i="13" s="1"/>
  <c r="O36" i="13"/>
  <c r="O38" i="13" s="1"/>
  <c r="O11" i="13" s="1"/>
  <c r="N36" i="13"/>
  <c r="N38" i="13" s="1"/>
  <c r="N11" i="13" s="1"/>
  <c r="D64" i="2"/>
  <c r="D65" i="2" s="1"/>
  <c r="D54" i="2"/>
  <c r="L64" i="2" l="1"/>
  <c r="C64" i="2" s="1"/>
  <c r="C65" i="2" s="1"/>
  <c r="H65" i="2"/>
  <c r="H70" i="2"/>
  <c r="C7" i="12" s="1"/>
  <c r="H60" i="2"/>
  <c r="D59" i="2"/>
  <c r="D60" i="2" s="1"/>
  <c r="L54" i="2"/>
  <c r="N54" i="2" s="1"/>
  <c r="N55" i="2" s="1"/>
  <c r="H66" i="2"/>
  <c r="H55" i="2"/>
  <c r="D55" i="2"/>
  <c r="H71" i="2" l="1"/>
  <c r="N64" i="2"/>
  <c r="N65" i="2" s="1"/>
  <c r="L65" i="2"/>
  <c r="L59" i="2"/>
  <c r="C59" i="2" s="1"/>
  <c r="C60" i="2" s="1"/>
  <c r="D70" i="2"/>
  <c r="D71" i="2" s="1"/>
  <c r="D66" i="2"/>
  <c r="L55" i="2"/>
  <c r="C54" i="2"/>
  <c r="C55" i="2" s="1"/>
  <c r="N59" i="2" l="1"/>
  <c r="N60" i="2" s="1"/>
  <c r="N72" i="2" s="1"/>
  <c r="N73" i="2" s="1"/>
  <c r="L60" i="2"/>
  <c r="L66" i="2"/>
  <c r="C3" i="12"/>
  <c r="C13" i="12" s="1"/>
  <c r="L70" i="2"/>
  <c r="C70" i="2"/>
  <c r="C71" i="2" s="1"/>
  <c r="C66" i="2"/>
  <c r="C16" i="12"/>
  <c r="L71" i="2" l="1"/>
  <c r="N70" i="2"/>
  <c r="N71" i="2" s="1"/>
</calcChain>
</file>

<file path=xl/sharedStrings.xml><?xml version="1.0" encoding="utf-8"?>
<sst xmlns="http://schemas.openxmlformats.org/spreadsheetml/2006/main" count="379" uniqueCount="142">
  <si>
    <t>№ з/п</t>
  </si>
  <si>
    <t>Адреса</t>
  </si>
  <si>
    <t>Утримання спільного майна багатоквартирного будинку та прибудинкової території</t>
  </si>
  <si>
    <t>Площа будинку, м²</t>
  </si>
  <si>
    <t>всього</t>
  </si>
  <si>
    <t>Оплата послуг щодо енергопостачання спільного майна багатоквартирного будинку</t>
  </si>
  <si>
    <t>ВСЬОГО</t>
  </si>
  <si>
    <t>Нараховано, грн.</t>
  </si>
  <si>
    <t>Витрачено, грн.</t>
  </si>
  <si>
    <t>Залишок, грн</t>
  </si>
  <si>
    <t>Сплачено, грн.</t>
  </si>
  <si>
    <t>Ітого:</t>
  </si>
  <si>
    <t>м2</t>
  </si>
  <si>
    <t>шт.</t>
  </si>
  <si>
    <t>норматив на 1 монтажника СТСО</t>
  </si>
  <si>
    <t>квартир</t>
  </si>
  <si>
    <t>грн./м2</t>
  </si>
  <si>
    <t>т</t>
  </si>
  <si>
    <t>грн./т</t>
  </si>
  <si>
    <t>грн.</t>
  </si>
  <si>
    <t>січень без ПДВ</t>
  </si>
  <si>
    <t>Витрачено, грн.:</t>
  </si>
  <si>
    <t>лютий без ПДВ</t>
  </si>
  <si>
    <t>Витрачено, грн:</t>
  </si>
  <si>
    <t>березень без ПДВ</t>
  </si>
  <si>
    <t>квітень без ПДВ</t>
  </si>
  <si>
    <t>травень без ПДВ</t>
  </si>
  <si>
    <t>средний тариф</t>
  </si>
  <si>
    <t>з ПДВ</t>
  </si>
  <si>
    <t>червень без ПДВ</t>
  </si>
  <si>
    <t>липень без ПДВ</t>
  </si>
  <si>
    <t>серпень без ПДВ</t>
  </si>
  <si>
    <t>вересень без ПДВ</t>
  </si>
  <si>
    <t>жовтень без ПДВ</t>
  </si>
  <si>
    <t>листопад без ПДВ</t>
  </si>
  <si>
    <t>грудень без ПДВ</t>
  </si>
  <si>
    <t>Складові послуги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</si>
  <si>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</si>
  <si>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</si>
  <si>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</si>
  <si>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</si>
  <si>
    <t>ЗАТВЕРДЖУЮ:</t>
  </si>
  <si>
    <t>Директор КП "ТЖКП"</t>
  </si>
  <si>
    <t>___________Олександр КРИВОЗУБ</t>
  </si>
  <si>
    <t>Розрахунок кошторису на послугу утримання багатоквартирного будинку</t>
  </si>
  <si>
    <t>Загальна інформація та складові</t>
  </si>
  <si>
    <t>Розмір</t>
  </si>
  <si>
    <t>Один.вим.</t>
  </si>
  <si>
    <t>загальна площа будинку</t>
  </si>
  <si>
    <t>кількість під'їздів</t>
  </si>
  <si>
    <t>площа під'їздів</t>
  </si>
  <si>
    <t>кількість козирків</t>
  </si>
  <si>
    <t>площа покрівлі</t>
  </si>
  <si>
    <t>кількість квартир</t>
  </si>
  <si>
    <t>площа підвалів</t>
  </si>
  <si>
    <t>площа міжпанельних швів</t>
  </si>
  <si>
    <t>протяжність димових та вентиляційних каналів</t>
  </si>
  <si>
    <t>м.п.</t>
  </si>
  <si>
    <t>протяжність електропроводки</t>
  </si>
  <si>
    <t>кількість монтажних вікон</t>
  </si>
  <si>
    <t>кількість вводів</t>
  </si>
  <si>
    <t>площа відмосток</t>
  </si>
  <si>
    <t>площа цоколя</t>
  </si>
  <si>
    <t>площа комунікацій, яка підлягає ізоляції</t>
  </si>
  <si>
    <t>територія, що прибирається</t>
  </si>
  <si>
    <t>площа, яка підлягає посипанню</t>
  </si>
  <si>
    <t>1. Технічне обслуговування внутрішньобудинкових систем</t>
  </si>
  <si>
    <t>грн./1м2/міс. з ПДВ</t>
  </si>
  <si>
    <t>норматив на 1 електрогазозварника</t>
  </si>
  <si>
    <t>норматив на 1 електромонтера</t>
  </si>
  <si>
    <t>середня з/п 1 монтажника СТСО</t>
  </si>
  <si>
    <t>грн./міс.</t>
  </si>
  <si>
    <t>середня з/п 1 електрогазозварника</t>
  </si>
  <si>
    <t>середня з/п 1 електромонтера</t>
  </si>
  <si>
    <t>нарахування на з/п</t>
  </si>
  <si>
    <t>накладні витрати</t>
  </si>
  <si>
    <t>витрати на ТМЦ (інструмент) та ЗІЗ на 1 монтажника СТСО</t>
  </si>
  <si>
    <t>витрати на ТМЦ (інструмент) та ЗІЗ на 1 електрогазозварника</t>
  </si>
  <si>
    <t>витрати на ТМЦ (інструмент) та ЗІЗ на електромонтера</t>
  </si>
  <si>
    <t>розрахунок кількості монтажників СТСО</t>
  </si>
  <si>
    <t>один.</t>
  </si>
  <si>
    <t>розрахунок кількості електрогазозварників</t>
  </si>
  <si>
    <t>розрахунок кількості електромонтерів</t>
  </si>
  <si>
    <t>розрахунок ФОП монтажників СТСО</t>
  </si>
  <si>
    <t>розрахунок ФОП електрогазозварників</t>
  </si>
  <si>
    <t>розрахунок ФОП електромонтерів</t>
  </si>
  <si>
    <t>всього ФОП</t>
  </si>
  <si>
    <t>всього нарахування на з/п</t>
  </si>
  <si>
    <t>всього накладні витрати</t>
  </si>
  <si>
    <t>всього витрати на ТМЦ (інструмент) та ЗІЗ</t>
  </si>
  <si>
    <t>ВСЬОГО витрати</t>
  </si>
  <si>
    <t>вартість 1 (одного) м2</t>
  </si>
  <si>
    <t>2. Обслуговування димових та вентиляційних каналів</t>
  </si>
  <si>
    <t>вартість послуги, згідно калькуляції</t>
  </si>
  <si>
    <t>грн./м.п./міс.</t>
  </si>
  <si>
    <t>розрахунок вартості послуги</t>
  </si>
  <si>
    <t>3. Поточний ремонт конструктивних елементів тощо</t>
  </si>
  <si>
    <t>витрати ТМЦ (матеріали)</t>
  </si>
  <si>
    <t>4. Поточний ремонт внутрішньобудинкових систем</t>
  </si>
  <si>
    <t>5. Прибирання прибудинкової території</t>
  </si>
  <si>
    <t>норматив на 1 двірника</t>
  </si>
  <si>
    <t>середня з/п двірника</t>
  </si>
  <si>
    <t>витрати на ТМЦ (інструмент) та ЗІЗ на 1 двірника</t>
  </si>
  <si>
    <t>розрахунок кількості двірників</t>
  </si>
  <si>
    <t>розрахунок ФОП двірників</t>
  </si>
  <si>
    <t>6. Посипання частини прибудинкової території, призначеної для проходу та проїзду, протиожеледними сумішами</t>
  </si>
  <si>
    <t>кількість суміші на 100 м2</t>
  </si>
  <si>
    <t>вартість суміші</t>
  </si>
  <si>
    <t>кількість операцій</t>
  </si>
  <si>
    <t>разів/рік</t>
  </si>
  <si>
    <t>7. Дератизація</t>
  </si>
  <si>
    <t>вартість послуг сторонніх організацій</t>
  </si>
  <si>
    <t>рази/рік</t>
  </si>
  <si>
    <t>8. Дезінсекція</t>
  </si>
  <si>
    <t>9. Придбання електричної енергії для освітлення місць загального користування</t>
  </si>
  <si>
    <t>вартість освітлення 1 (одного) м2 згідно калькуляції</t>
  </si>
  <si>
    <t>10. Винагорода управителю</t>
  </si>
  <si>
    <t>ФОП управлінського персоналу</t>
  </si>
  <si>
    <t>загальна площа, яка знаходиться в управлінні</t>
  </si>
  <si>
    <t>Всього вартість без ПДВ</t>
  </si>
  <si>
    <t>грн./1м2/міс.</t>
  </si>
  <si>
    <t>Всього вартість з ПДВ</t>
  </si>
  <si>
    <t>Начальник ЖРЕК</t>
  </si>
  <si>
    <t>Анастасія ШИБЛЄВА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</si>
  <si>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</si>
  <si>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</si>
  <si>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</si>
  <si>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</si>
  <si>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</si>
  <si>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</si>
  <si>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</si>
  <si>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</si>
  <si>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</si>
  <si>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</si>
  <si>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</si>
  <si>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</si>
  <si>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кількість міс.</t>
  </si>
  <si>
    <t>затверджена вартість, грн/м2 з ПДВ</t>
  </si>
  <si>
    <t>фактична вартість, грн/м2 з ПДВ</t>
  </si>
  <si>
    <t>бул. Г.Космосу, буд.3а</t>
  </si>
  <si>
    <t>Звіт з послуги по управлінню багатоквартирним будинком       №3а по бул.Героїв Космосу</t>
  </si>
  <si>
    <t>Героїв Космосу, 3а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</si>
</sst>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₴_-;\-* #,##0.00_₴_-;_-* &quot;-&quot;??_₴_-;_-@_-"/>
    <numFmt numFmtId="165" formatCode="0.0000"/>
    <numFmt numFmtId="166" formatCode="#,##0.0000"/>
    <numFmt numFmtId="167" formatCode="0.0%"/>
    <numFmt numFmtId="168" formatCode="#,##0.0"/>
    <numFmt numFmtId="169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textRotation="90" wrapText="1"/>
    </xf>
    <xf numFmtId="0" fontId="5" fillId="0" borderId="0" xfId="0" applyFont="1" applyFill="1" applyBorder="1"/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167" fontId="4" fillId="0" borderId="1" xfId="2" applyNumberFormat="1" applyFont="1" applyFill="1" applyBorder="1" applyAlignment="1">
      <alignment horizontal="center"/>
    </xf>
    <xf numFmtId="167" fontId="5" fillId="0" borderId="1" xfId="2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/>
    <xf numFmtId="167" fontId="4" fillId="0" borderId="0" xfId="0" applyNumberFormat="1" applyFont="1" applyFill="1" applyBorder="1"/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/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/>
    </xf>
    <xf numFmtId="164" fontId="5" fillId="0" borderId="1" xfId="3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/>
    </xf>
    <xf numFmtId="2" fontId="5" fillId="0" borderId="1" xfId="2" applyNumberFormat="1" applyFont="1" applyFill="1" applyBorder="1" applyAlignment="1">
      <alignment horizontal="center"/>
    </xf>
    <xf numFmtId="164" fontId="4" fillId="0" borderId="0" xfId="0" applyNumberFormat="1" applyFont="1" applyFill="1" applyBorder="1"/>
    <xf numFmtId="4" fontId="4" fillId="0" borderId="0" xfId="0" applyNumberFormat="1" applyFont="1" applyFill="1" applyBorder="1"/>
    <xf numFmtId="4" fontId="4" fillId="3" borderId="1" xfId="0" applyNumberFormat="1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/>
    <xf numFmtId="4" fontId="9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9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2" fontId="6" fillId="0" borderId="1" xfId="2" applyNumberFormat="1" applyFont="1" applyFill="1" applyBorder="1" applyAlignment="1">
      <alignment horizontal="center"/>
    </xf>
    <xf numFmtId="0" fontId="5" fillId="3" borderId="1" xfId="0" applyFont="1" applyFill="1" applyBorder="1"/>
    <xf numFmtId="0" fontId="4" fillId="0" borderId="0" xfId="0" applyFont="1" applyFill="1" applyBorder="1" applyAlignment="1">
      <alignment horizontal="right"/>
    </xf>
    <xf numFmtId="0" fontId="4" fillId="3" borderId="0" xfId="0" applyFont="1" applyFill="1" applyBorder="1"/>
    <xf numFmtId="0" fontId="5" fillId="3" borderId="0" xfId="0" applyFont="1" applyFill="1" applyBorder="1"/>
    <xf numFmtId="2" fontId="5" fillId="0" borderId="0" xfId="0" applyNumberFormat="1" applyFont="1" applyFill="1" applyBorder="1"/>
    <xf numFmtId="4" fontId="4" fillId="3" borderId="0" xfId="0" applyNumberFormat="1" applyFont="1" applyFill="1" applyBorder="1"/>
    <xf numFmtId="0" fontId="5" fillId="3" borderId="1" xfId="0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vertical="top" wrapText="1"/>
    </xf>
    <xf numFmtId="166" fontId="4" fillId="3" borderId="1" xfId="0" applyNumberFormat="1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center"/>
    </xf>
    <xf numFmtId="167" fontId="5" fillId="3" borderId="1" xfId="2" applyNumberFormat="1" applyFont="1" applyFill="1" applyBorder="1" applyAlignment="1">
      <alignment horizontal="center"/>
    </xf>
    <xf numFmtId="0" fontId="7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66" fontId="10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166" fontId="12" fillId="0" borderId="1" xfId="0" applyNumberFormat="1" applyFont="1" applyBorder="1" applyAlignment="1">
      <alignment horizontal="center" vertical="top" wrapText="1"/>
    </xf>
    <xf numFmtId="166" fontId="12" fillId="0" borderId="1" xfId="0" applyNumberFormat="1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horizontal="right" vertical="top"/>
    </xf>
    <xf numFmtId="0" fontId="8" fillId="0" borderId="0" xfId="0" applyFont="1"/>
    <xf numFmtId="4" fontId="8" fillId="0" borderId="0" xfId="0" applyNumberFormat="1" applyFont="1" applyAlignment="1">
      <alignment horizontal="right"/>
    </xf>
    <xf numFmtId="0" fontId="5" fillId="0" borderId="1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/>
    <xf numFmtId="0" fontId="1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3" fontId="14" fillId="0" borderId="1" xfId="0" applyNumberFormat="1" applyFont="1" applyBorder="1" applyAlignment="1">
      <alignment horizontal="left" vertical="center"/>
    </xf>
    <xf numFmtId="4" fontId="14" fillId="0" borderId="1" xfId="0" applyNumberFormat="1" applyFont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left" vertical="center"/>
    </xf>
    <xf numFmtId="3" fontId="14" fillId="0" borderId="1" xfId="0" applyNumberFormat="1" applyFont="1" applyBorder="1" applyAlignment="1">
      <alignment horizontal="right" vertical="center"/>
    </xf>
    <xf numFmtId="166" fontId="2" fillId="2" borderId="1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9" fontId="14" fillId="0" borderId="1" xfId="0" applyNumberFormat="1" applyFont="1" applyBorder="1" applyAlignment="1">
      <alignment horizontal="right" vertical="center"/>
    </xf>
    <xf numFmtId="166" fontId="14" fillId="0" borderId="1" xfId="0" applyNumberFormat="1" applyFont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8" fontId="14" fillId="0" borderId="1" xfId="0" applyNumberFormat="1" applyFont="1" applyBorder="1" applyAlignment="1">
      <alignment horizontal="left" vertical="center"/>
    </xf>
    <xf numFmtId="4" fontId="14" fillId="0" borderId="1" xfId="0" applyNumberFormat="1" applyFont="1" applyBorder="1" applyAlignment="1">
      <alignment horizontal="left" vertical="center"/>
    </xf>
    <xf numFmtId="4" fontId="14" fillId="0" borderId="1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14" fillId="0" borderId="1" xfId="0" applyFont="1" applyFill="1" applyBorder="1" applyAlignment="1">
      <alignment horizontal="left" vertical="center"/>
    </xf>
    <xf numFmtId="166" fontId="14" fillId="0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169" fontId="14" fillId="0" borderId="0" xfId="0" applyNumberFormat="1" applyFont="1" applyAlignment="1">
      <alignment horizontal="right" vertical="center"/>
    </xf>
    <xf numFmtId="0" fontId="15" fillId="0" borderId="1" xfId="2" applyNumberFormat="1" applyFont="1" applyFill="1" applyBorder="1" applyAlignment="1">
      <alignment horizontal="center"/>
    </xf>
    <xf numFmtId="4" fontId="16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7" fillId="0" borderId="1" xfId="0" applyFont="1" applyFill="1" applyBorder="1"/>
    <xf numFmtId="4" fontId="17" fillId="0" borderId="1" xfId="0" applyNumberFormat="1" applyFont="1" applyFill="1" applyBorder="1" applyAlignment="1">
      <alignment horizontal="center"/>
    </xf>
    <xf numFmtId="4" fontId="17" fillId="3" borderId="1" xfId="0" applyNumberFormat="1" applyFont="1" applyFill="1" applyBorder="1" applyAlignment="1">
      <alignment horizontal="center"/>
    </xf>
    <xf numFmtId="2" fontId="17" fillId="0" borderId="1" xfId="2" applyNumberFormat="1" applyFont="1" applyFill="1" applyBorder="1" applyAlignment="1">
      <alignment horizontal="center"/>
    </xf>
    <xf numFmtId="0" fontId="17" fillId="0" borderId="0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right" vertical="center"/>
    </xf>
    <xf numFmtId="9" fontId="14" fillId="4" borderId="1" xfId="0" applyNumberFormat="1" applyFont="1" applyFill="1" applyBorder="1" applyAlignment="1">
      <alignment horizontal="right" vertical="center"/>
    </xf>
    <xf numFmtId="166" fontId="14" fillId="4" borderId="1" xfId="0" applyNumberFormat="1" applyFont="1" applyFill="1" applyBorder="1" applyAlignment="1">
      <alignment horizontal="right" vertical="center"/>
    </xf>
    <xf numFmtId="3" fontId="14" fillId="4" borderId="1" xfId="0" applyNumberFormat="1" applyFont="1" applyFill="1" applyBorder="1" applyAlignment="1">
      <alignment horizontal="right" vertical="center"/>
    </xf>
    <xf numFmtId="0" fontId="14" fillId="5" borderId="1" xfId="0" applyFont="1" applyFill="1" applyBorder="1" applyAlignment="1">
      <alignment horizontal="left" vertical="center"/>
    </xf>
    <xf numFmtId="166" fontId="14" fillId="5" borderId="1" xfId="0" applyNumberFormat="1" applyFont="1" applyFill="1" applyBorder="1" applyAlignment="1">
      <alignment horizontal="right" vertical="center"/>
    </xf>
    <xf numFmtId="0" fontId="13" fillId="5" borderId="0" xfId="0" applyFont="1" applyFill="1"/>
    <xf numFmtId="4" fontId="14" fillId="5" borderId="1" xfId="0" applyNumberFormat="1" applyFont="1" applyFill="1" applyBorder="1" applyAlignment="1">
      <alignment horizontal="right" vertical="center"/>
    </xf>
    <xf numFmtId="0" fontId="0" fillId="0" borderId="0" xfId="0" applyBorder="1"/>
    <xf numFmtId="166" fontId="15" fillId="0" borderId="1" xfId="0" applyNumberFormat="1" applyFont="1" applyFill="1" applyBorder="1" applyAlignment="1">
      <alignment horizontal="center" vertical="center"/>
    </xf>
    <xf numFmtId="165" fontId="18" fillId="6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11" fillId="0" borderId="0" xfId="0" applyFont="1" applyBorder="1" applyAlignment="1">
      <alignment horizontal="center" vertical="top" wrapText="1"/>
    </xf>
  </cellXfs>
  <cellStyles count="4">
    <cellStyle name="Excel Built-in Normal" xfId="1" xr:uid="{00000000-0005-0000-0000-000000000000}"/>
    <cellStyle name="Обычный" xfId="0" builtinId="0"/>
    <cellStyle name="Процентный" xfId="2" builtinId="5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89;&#1074;&#1086;&#1076;&#1085;&#1072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78;&#1101;&#1082;%20-%201/&#1056;&#1072;&#1073;&#1086;&#1095;&#1080;&#1081;%20&#1089;&#1090;&#1086;&#1083;/&#1052;&#1072;&#1096;&#1072;/&#1054;&#1090;&#1095;&#1077;&#1090;%20&#1087;&#1086;%20&#1076;&#1086;&#1084;&#1072;&#1084;%202020/&#1079;&#1074;&#1110;&#1090;%202024/&#1089;&#1074;&#1086;&#1076;&#1085;&#1072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>
        <row r="140">
          <cell r="C140">
            <v>17486.03</v>
          </cell>
          <cell r="D140">
            <v>15551.51</v>
          </cell>
          <cell r="E140">
            <v>17486.03</v>
          </cell>
          <cell r="F140">
            <v>17944.52</v>
          </cell>
          <cell r="G140">
            <v>17486.03</v>
          </cell>
          <cell r="H140">
            <v>16433.48</v>
          </cell>
          <cell r="I140">
            <v>17486.02</v>
          </cell>
          <cell r="J140">
            <v>15852.37</v>
          </cell>
          <cell r="K140">
            <v>17486.03</v>
          </cell>
          <cell r="L140">
            <v>15094.51</v>
          </cell>
          <cell r="M140">
            <v>17486.03</v>
          </cell>
          <cell r="N140">
            <v>16533.55</v>
          </cell>
          <cell r="O140">
            <v>17486.03</v>
          </cell>
          <cell r="P140">
            <v>17018.39</v>
          </cell>
          <cell r="Q140">
            <v>17486.02</v>
          </cell>
          <cell r="R140">
            <v>14441.27</v>
          </cell>
          <cell r="S140">
            <v>17486.03</v>
          </cell>
          <cell r="T140">
            <v>17000.78</v>
          </cell>
          <cell r="U140">
            <v>17486.04</v>
          </cell>
          <cell r="V140">
            <v>18429.04</v>
          </cell>
          <cell r="W140">
            <v>17486.03</v>
          </cell>
          <cell r="X140">
            <v>16188.05</v>
          </cell>
          <cell r="Y140">
            <v>17486.03</v>
          </cell>
          <cell r="Z140">
            <v>15584.85</v>
          </cell>
        </row>
      </sheetData>
      <sheetData sheetId="1">
        <row r="2">
          <cell r="B2">
            <v>85.269230769230774</v>
          </cell>
          <cell r="C2">
            <v>335.13888888888891</v>
          </cell>
          <cell r="D2">
            <v>1525.8766666666668</v>
          </cell>
          <cell r="F2">
            <v>1.5315000000000001</v>
          </cell>
        </row>
        <row r="3">
          <cell r="B3">
            <v>90.703333333333319</v>
          </cell>
          <cell r="C3">
            <v>948.79611111111126</v>
          </cell>
          <cell r="D3">
            <v>3699.67</v>
          </cell>
          <cell r="F3">
            <v>1.7869999999999999</v>
          </cell>
        </row>
        <row r="4">
          <cell r="B4">
            <v>365.78039999999999</v>
          </cell>
          <cell r="C4">
            <v>481.20294117647057</v>
          </cell>
          <cell r="D4">
            <v>374.27333333333331</v>
          </cell>
          <cell r="F4">
            <v>1.5982000000000001</v>
          </cell>
        </row>
        <row r="5">
          <cell r="B5">
            <v>285.73599999999999</v>
          </cell>
          <cell r="C5">
            <v>163.69764705882352</v>
          </cell>
          <cell r="D5">
            <v>1986.6666666666667</v>
          </cell>
          <cell r="F5">
            <v>1.6994</v>
          </cell>
        </row>
        <row r="6">
          <cell r="B6">
            <v>456.25038461538463</v>
          </cell>
          <cell r="D6">
            <v>1810.1866666666667</v>
          </cell>
          <cell r="F6">
            <v>1.6162000000000001</v>
          </cell>
        </row>
        <row r="7">
          <cell r="B7">
            <v>550.5580769230769</v>
          </cell>
          <cell r="C7">
            <v>92</v>
          </cell>
          <cell r="D7">
            <v>2581.3333333333335</v>
          </cell>
          <cell r="F7">
            <v>1.3069999999999999</v>
          </cell>
        </row>
        <row r="8">
          <cell r="B8">
            <v>472.19120000000004</v>
          </cell>
          <cell r="C8">
            <v>47</v>
          </cell>
          <cell r="D8">
            <v>927.16666666666663</v>
          </cell>
          <cell r="F8">
            <v>1.6972</v>
          </cell>
        </row>
        <row r="9">
          <cell r="B9">
            <v>384.13875000000002</v>
          </cell>
          <cell r="C9">
            <v>23.333333333333332</v>
          </cell>
          <cell r="D9">
            <v>1733.3333333333333</v>
          </cell>
          <cell r="F9">
            <v>1.512</v>
          </cell>
        </row>
        <row r="10">
          <cell r="B10">
            <v>2724.1988461538463</v>
          </cell>
          <cell r="C10">
            <v>2002.2857142857142</v>
          </cell>
          <cell r="D10">
            <v>1249.8333333333333</v>
          </cell>
          <cell r="F10">
            <v>1.7523</v>
          </cell>
        </row>
        <row r="11">
          <cell r="B11">
            <v>173.07692307692307</v>
          </cell>
          <cell r="D11">
            <v>1853.24</v>
          </cell>
          <cell r="F11">
            <v>1.6559999999999999</v>
          </cell>
        </row>
        <row r="12">
          <cell r="B12">
            <v>95.589999999999989</v>
          </cell>
          <cell r="C12">
            <v>33.243571428571428</v>
          </cell>
          <cell r="D12">
            <v>1858.7266666666667</v>
          </cell>
          <cell r="F12">
            <v>1.6124000000000001</v>
          </cell>
        </row>
        <row r="13">
          <cell r="B13">
            <v>142.78260869565219</v>
          </cell>
          <cell r="C13">
            <v>54.916666666666664</v>
          </cell>
          <cell r="D13">
            <v>1885.5</v>
          </cell>
          <cell r="F13">
            <v>1.8755999999999999</v>
          </cell>
        </row>
        <row r="15">
          <cell r="C15">
            <v>9.0387145420777002E-3</v>
          </cell>
        </row>
      </sheetData>
      <sheetData sheetId="2">
        <row r="2">
          <cell r="D2">
            <v>9874.33</v>
          </cell>
          <cell r="E2">
            <v>9508.6140740740739</v>
          </cell>
          <cell r="F2">
            <v>10269.3032</v>
          </cell>
          <cell r="G2">
            <v>10269.3032</v>
          </cell>
          <cell r="H2">
            <v>9874.33</v>
          </cell>
          <cell r="I2">
            <v>9874.33</v>
          </cell>
          <cell r="J2">
            <v>10269.3032</v>
          </cell>
          <cell r="K2">
            <v>10697.190833333332</v>
          </cell>
          <cell r="L2">
            <v>9874.33</v>
          </cell>
          <cell r="M2">
            <v>9874.33</v>
          </cell>
          <cell r="N2">
            <v>10697.190833333332</v>
          </cell>
          <cell r="O2">
            <v>11162.286086956521</v>
          </cell>
        </row>
        <row r="3">
          <cell r="D3">
            <v>7811.14</v>
          </cell>
          <cell r="E3">
            <v>8574.94</v>
          </cell>
          <cell r="F3">
            <v>8615.7800000000007</v>
          </cell>
          <cell r="G3">
            <v>7080.88</v>
          </cell>
          <cell r="H3">
            <v>7227.61</v>
          </cell>
          <cell r="I3">
            <v>7940.73</v>
          </cell>
          <cell r="J3">
            <v>9885.3799999999992</v>
          </cell>
          <cell r="K3">
            <v>10640.48</v>
          </cell>
          <cell r="L3">
            <v>9225.32</v>
          </cell>
          <cell r="M3">
            <v>9486.5</v>
          </cell>
          <cell r="N3">
            <v>11441.17</v>
          </cell>
          <cell r="O3">
            <v>10065.299999999999</v>
          </cell>
        </row>
        <row r="8">
          <cell r="D8">
            <v>460.05555555555554</v>
          </cell>
          <cell r="E8">
            <v>460.05555555555554</v>
          </cell>
          <cell r="F8">
            <v>487.11764705882354</v>
          </cell>
          <cell r="G8">
            <v>487.11764705882354</v>
          </cell>
          <cell r="H8">
            <v>460.05555555555554</v>
          </cell>
          <cell r="I8">
            <v>517.5625</v>
          </cell>
          <cell r="J8">
            <v>552.06666666666672</v>
          </cell>
          <cell r="K8">
            <v>552.06666666666672</v>
          </cell>
          <cell r="L8">
            <v>591.5</v>
          </cell>
          <cell r="M8">
            <v>552.06666666666672</v>
          </cell>
          <cell r="N8">
            <v>591.5</v>
          </cell>
          <cell r="O8">
            <v>690.08333333333337</v>
          </cell>
        </row>
        <row r="9">
          <cell r="D9">
            <v>140459.86666666667</v>
          </cell>
          <cell r="E9">
            <v>140459.86666666667</v>
          </cell>
          <cell r="F9">
            <v>140459.86666666667</v>
          </cell>
          <cell r="G9">
            <v>140459.86666666667</v>
          </cell>
          <cell r="H9">
            <v>140459.86666666667</v>
          </cell>
          <cell r="I9">
            <v>140459.86666666667</v>
          </cell>
          <cell r="J9">
            <v>140459.86666666667</v>
          </cell>
          <cell r="K9">
            <v>140459.86666666667</v>
          </cell>
          <cell r="L9">
            <v>140459.86666666667</v>
          </cell>
          <cell r="M9">
            <v>140459.86666666667</v>
          </cell>
          <cell r="N9">
            <v>140459.86666666667</v>
          </cell>
          <cell r="O9">
            <v>140459.86666666667</v>
          </cell>
        </row>
        <row r="10">
          <cell r="D10">
            <v>14085.9</v>
          </cell>
          <cell r="E10">
            <v>12551.29</v>
          </cell>
          <cell r="F10">
            <v>14342.95</v>
          </cell>
          <cell r="G10">
            <v>13657.08</v>
          </cell>
          <cell r="H10">
            <v>12787.25</v>
          </cell>
          <cell r="I10">
            <v>13645.32</v>
          </cell>
          <cell r="J10">
            <v>15998.45</v>
          </cell>
          <cell r="K10">
            <v>14050.73</v>
          </cell>
          <cell r="L10">
            <v>16012.29</v>
          </cell>
          <cell r="M10">
            <v>16432.259999999998</v>
          </cell>
          <cell r="N10">
            <v>14260.93</v>
          </cell>
          <cell r="O10">
            <v>17260.93</v>
          </cell>
        </row>
        <row r="11">
          <cell r="D11">
            <v>22865.65</v>
          </cell>
          <cell r="E11">
            <v>19662.88</v>
          </cell>
          <cell r="F11">
            <v>20324.45</v>
          </cell>
          <cell r="G11">
            <v>20342.5</v>
          </cell>
          <cell r="H11">
            <v>21742.5</v>
          </cell>
          <cell r="I11">
            <v>20652.689999999999</v>
          </cell>
          <cell r="J11">
            <v>23054.47</v>
          </cell>
          <cell r="K11">
            <v>21266.639999999999</v>
          </cell>
          <cell r="L11">
            <v>21159.8</v>
          </cell>
          <cell r="M11">
            <v>23087.8</v>
          </cell>
          <cell r="N11">
            <v>19833.189999999999</v>
          </cell>
          <cell r="O11">
            <v>21081.63</v>
          </cell>
        </row>
        <row r="16">
          <cell r="D16">
            <v>21204</v>
          </cell>
          <cell r="F16">
            <v>21204</v>
          </cell>
          <cell r="G16">
            <v>21204</v>
          </cell>
          <cell r="H16">
            <v>21204</v>
          </cell>
          <cell r="I16">
            <v>21204</v>
          </cell>
          <cell r="J16">
            <v>21204</v>
          </cell>
          <cell r="K16">
            <v>21204</v>
          </cell>
          <cell r="L16">
            <v>21204</v>
          </cell>
          <cell r="M16">
            <v>21204</v>
          </cell>
          <cell r="N16">
            <v>21204</v>
          </cell>
          <cell r="O16">
            <v>21204</v>
          </cell>
        </row>
        <row r="17">
          <cell r="D17">
            <v>8800</v>
          </cell>
          <cell r="E17">
            <v>9000</v>
          </cell>
          <cell r="F17">
            <v>9000</v>
          </cell>
          <cell r="G17">
            <v>7000</v>
          </cell>
          <cell r="H17">
            <v>7000</v>
          </cell>
          <cell r="I17">
            <v>8000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</sheetData>
      <sheetData sheetId="3"/>
      <sheetData sheetId="4">
        <row r="124">
          <cell r="B124">
            <v>3140.5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свод"/>
      <sheetName val="составляющие"/>
      <sheetName val="матеріали"/>
      <sheetName val="світло"/>
      <sheetName val="Прибудинкова"/>
    </sheetNames>
    <sheetDataSet>
      <sheetData sheetId="0" refreshError="1"/>
      <sheetData sheetId="1" refreshError="1"/>
      <sheetData sheetId="2" refreshError="1">
        <row r="1">
          <cell r="B1">
            <v>7475.29</v>
          </cell>
        </row>
        <row r="2">
          <cell r="B2">
            <v>1008.99</v>
          </cell>
        </row>
        <row r="3">
          <cell r="B3">
            <v>12789.85</v>
          </cell>
        </row>
        <row r="4">
          <cell r="B4">
            <v>18350.97</v>
          </cell>
        </row>
        <row r="6">
          <cell r="B6">
            <v>831.75</v>
          </cell>
        </row>
        <row r="7">
          <cell r="B7">
            <v>1419.71</v>
          </cell>
        </row>
        <row r="8">
          <cell r="B8">
            <v>677.5</v>
          </cell>
        </row>
        <row r="9">
          <cell r="B9">
            <v>0.54</v>
          </cell>
        </row>
        <row r="10">
          <cell r="B10">
            <v>0.73</v>
          </cell>
        </row>
        <row r="12">
          <cell r="B12">
            <v>188.71</v>
          </cell>
        </row>
        <row r="13">
          <cell r="B13">
            <v>8281</v>
          </cell>
        </row>
        <row r="14">
          <cell r="B14">
            <v>255912.38</v>
          </cell>
        </row>
        <row r="15">
          <cell r="B15">
            <v>420690.02000000031</v>
          </cell>
        </row>
        <row r="16">
          <cell r="B16">
            <v>21204</v>
          </cell>
        </row>
        <row r="18">
          <cell r="B18">
            <v>28</v>
          </cell>
        </row>
        <row r="19">
          <cell r="B19">
            <v>21</v>
          </cell>
        </row>
        <row r="20">
          <cell r="B20">
            <v>4</v>
          </cell>
        </row>
        <row r="21">
          <cell r="B21">
            <v>1</v>
          </cell>
        </row>
      </sheetData>
      <sheetData sheetId="3" refreshError="1">
        <row r="25">
          <cell r="F25">
            <v>5403.1983333333337</v>
          </cell>
        </row>
        <row r="49">
          <cell r="F49">
            <v>2392.6266666666666</v>
          </cell>
        </row>
      </sheetData>
      <sheetData sheetId="4" refreshError="1">
        <row r="20">
          <cell r="I20">
            <v>0.12429999999999999</v>
          </cell>
        </row>
        <row r="89">
          <cell r="I89">
            <v>0.53600000000000003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свод"/>
      <sheetName val="составляющие"/>
      <sheetName val="матеріали"/>
      <sheetName val="світло"/>
      <sheetName val="Прибудинкова"/>
    </sheetNames>
    <sheetDataSet>
      <sheetData sheetId="0" refreshError="1">
        <row r="52">
          <cell r="C52">
            <v>4691.8999999999996</v>
          </cell>
        </row>
        <row r="181">
          <cell r="C181">
            <v>3136</v>
          </cell>
        </row>
      </sheetData>
      <sheetData sheetId="1" refreshError="1"/>
      <sheetData sheetId="2" refreshError="1">
        <row r="1">
          <cell r="B1">
            <v>7475.29</v>
          </cell>
        </row>
        <row r="2">
          <cell r="B2">
            <v>1008.99</v>
          </cell>
        </row>
        <row r="3">
          <cell r="B3">
            <v>12789.85</v>
          </cell>
        </row>
        <row r="4">
          <cell r="B4">
            <v>18350.97</v>
          </cell>
        </row>
        <row r="6">
          <cell r="B6">
            <v>831.75</v>
          </cell>
        </row>
        <row r="7">
          <cell r="B7">
            <v>1419.71</v>
          </cell>
        </row>
        <row r="8">
          <cell r="B8">
            <v>677.5</v>
          </cell>
        </row>
        <row r="9">
          <cell r="B9">
            <v>0.54</v>
          </cell>
        </row>
        <row r="10">
          <cell r="B10">
            <v>0.73</v>
          </cell>
        </row>
        <row r="12">
          <cell r="B12">
            <v>188.71</v>
          </cell>
        </row>
        <row r="13">
          <cell r="B13">
            <v>8281</v>
          </cell>
        </row>
        <row r="14">
          <cell r="B14">
            <v>255912.38</v>
          </cell>
        </row>
        <row r="15">
          <cell r="B15">
            <v>420690.02000000031</v>
          </cell>
        </row>
        <row r="16">
          <cell r="B16">
            <v>21204</v>
          </cell>
        </row>
        <row r="17">
          <cell r="B17">
            <v>0</v>
          </cell>
        </row>
        <row r="18">
          <cell r="B18">
            <v>28</v>
          </cell>
        </row>
        <row r="19">
          <cell r="B19">
            <v>21</v>
          </cell>
        </row>
        <row r="20">
          <cell r="B20">
            <v>4</v>
          </cell>
        </row>
        <row r="21">
          <cell r="B21">
            <v>1</v>
          </cell>
        </row>
      </sheetData>
      <sheetData sheetId="3" refreshError="1">
        <row r="25">
          <cell r="F25">
            <v>5403.1983333333337</v>
          </cell>
        </row>
        <row r="49">
          <cell r="F49">
            <v>2392.6266666666666</v>
          </cell>
        </row>
      </sheetData>
      <sheetData sheetId="4" refreshError="1">
        <row r="5">
          <cell r="I5">
            <v>0.13020000000000001</v>
          </cell>
        </row>
        <row r="41">
          <cell r="I41">
            <v>0.34870000000000001</v>
          </cell>
          <cell r="J41">
            <v>156</v>
          </cell>
        </row>
      </sheetData>
      <sheetData sheetId="5" refreshError="1">
        <row r="52">
          <cell r="C52">
            <v>2469.6</v>
          </cell>
        </row>
        <row r="181">
          <cell r="C181">
            <v>1649.4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6"/>
  <sheetViews>
    <sheetView topLeftCell="A35" workbookViewId="0">
      <selection activeCell="C74" sqref="C74"/>
    </sheetView>
  </sheetViews>
  <sheetFormatPr defaultRowHeight="12.75" x14ac:dyDescent="0.2"/>
  <cols>
    <col min="1" max="1" width="5.5703125" style="1" bestFit="1" customWidth="1"/>
    <col min="2" max="2" width="18.5703125" style="1" bestFit="1" customWidth="1"/>
    <col min="3" max="3" width="10.28515625" style="1" customWidth="1"/>
    <col min="4" max="4" width="10.28515625" style="1" bestFit="1" customWidth="1"/>
    <col min="5" max="5" width="9.5703125" style="1" customWidth="1"/>
    <col min="6" max="6" width="7.42578125" style="1" customWidth="1"/>
    <col min="7" max="7" width="8" style="1" customWidth="1"/>
    <col min="8" max="8" width="8.28515625" style="1" customWidth="1"/>
    <col min="9" max="9" width="9" style="36" customWidth="1"/>
    <col min="10" max="11" width="10.5703125" style="1" customWidth="1"/>
    <col min="12" max="12" width="11.28515625" style="4" customWidth="1"/>
    <col min="13" max="13" width="17.7109375" style="37" customWidth="1"/>
    <col min="14" max="14" width="10.42578125" style="4" bestFit="1" customWidth="1"/>
    <col min="15" max="16384" width="9.140625" style="1"/>
  </cols>
  <sheetData>
    <row r="1" spans="1:16" ht="63.75" customHeight="1" x14ac:dyDescent="0.2">
      <c r="A1" s="107" t="s">
        <v>0</v>
      </c>
      <c r="B1" s="107" t="s">
        <v>1</v>
      </c>
      <c r="C1" s="107" t="s">
        <v>3</v>
      </c>
      <c r="D1" s="107" t="s">
        <v>2</v>
      </c>
      <c r="E1" s="107"/>
      <c r="F1" s="107"/>
      <c r="G1" s="107"/>
      <c r="H1" s="107"/>
      <c r="I1" s="107"/>
      <c r="J1" s="107"/>
      <c r="K1" s="107"/>
      <c r="L1" s="107"/>
      <c r="M1" s="41" t="s">
        <v>5</v>
      </c>
      <c r="N1" s="107" t="s">
        <v>6</v>
      </c>
    </row>
    <row r="2" spans="1:16" s="4" customFormat="1" ht="194.25" x14ac:dyDescent="0.2">
      <c r="A2" s="107"/>
      <c r="B2" s="107"/>
      <c r="C2" s="107"/>
      <c r="D2" s="3" t="str">
        <f>план!A24</f>
        <v>1. Технічне обслуговування внутрішньобудинкових систем</v>
      </c>
      <c r="E2" s="3" t="str">
        <f>план!A52</f>
        <v>2. Обслуговування димових та вентиляційних каналів</v>
      </c>
      <c r="F2" s="3" t="str">
        <f>план!A58</f>
        <v>3. Поточний ремонт конструктивних елементів тощо</v>
      </c>
      <c r="G2" s="3" t="str">
        <f>план!A62</f>
        <v>4. Поточний ремонт внутрішньобудинкових систем</v>
      </c>
      <c r="H2" s="3" t="str">
        <f>план!A66</f>
        <v>5. Прибирання прибудинкової території</v>
      </c>
      <c r="I2" s="40" t="str">
        <f>план!A82</f>
        <v>6. Посипання частини прибудинкової території, призначеної для проходу та проїзду, протиожеледними сумішами</v>
      </c>
      <c r="J2" s="3" t="str">
        <f>план!A89</f>
        <v>7. Дератизація</v>
      </c>
      <c r="K2" s="3" t="str">
        <f>план!A95</f>
        <v>8. Дезінсекція</v>
      </c>
      <c r="L2" s="3" t="s">
        <v>4</v>
      </c>
      <c r="M2" s="40" t="str">
        <f>план!A101</f>
        <v>9. Придбання електричної енергії для освітлення місць загального користування</v>
      </c>
      <c r="N2" s="107"/>
    </row>
    <row r="3" spans="1:16" s="4" customFormat="1" x14ac:dyDescent="0.2">
      <c r="A3" s="2">
        <v>1</v>
      </c>
      <c r="B3" s="2">
        <v>2</v>
      </c>
      <c r="C3" s="2">
        <v>3</v>
      </c>
      <c r="D3" s="2">
        <v>4</v>
      </c>
      <c r="E3" s="10">
        <v>5</v>
      </c>
      <c r="F3" s="2">
        <v>6</v>
      </c>
      <c r="G3" s="2">
        <v>7</v>
      </c>
      <c r="H3" s="2">
        <v>8</v>
      </c>
      <c r="I3" s="41">
        <v>9</v>
      </c>
      <c r="J3" s="2">
        <v>10</v>
      </c>
      <c r="K3" s="60">
        <v>11</v>
      </c>
      <c r="L3" s="13">
        <v>12</v>
      </c>
      <c r="M3" s="41">
        <v>13</v>
      </c>
      <c r="N3" s="13">
        <v>14</v>
      </c>
    </row>
    <row r="4" spans="1:16" x14ac:dyDescent="0.2">
      <c r="A4" s="5">
        <v>1</v>
      </c>
      <c r="B4" s="17" t="s">
        <v>141</v>
      </c>
      <c r="C4" s="7">
        <f>план!B7</f>
        <v>3136</v>
      </c>
      <c r="D4" s="8">
        <f>план!B51</f>
        <v>1.4691000000000001</v>
      </c>
      <c r="E4" s="8">
        <f>план!B57</f>
        <v>0.186</v>
      </c>
      <c r="F4" s="8">
        <f>план!B61</f>
        <v>1.0204</v>
      </c>
      <c r="G4" s="8">
        <f>план!B65</f>
        <v>0.76300000000000001</v>
      </c>
      <c r="H4" s="8">
        <f>план!B81</f>
        <v>0.79810000000000003</v>
      </c>
      <c r="I4" s="42">
        <f>план!B88</f>
        <v>2.2000000000000001E-3</v>
      </c>
      <c r="J4" s="8">
        <f>план!B94</f>
        <v>1.9699999999999999E-2</v>
      </c>
      <c r="K4" s="8">
        <f>план!B100</f>
        <v>2.6599999999999999E-2</v>
      </c>
      <c r="L4" s="9">
        <f>D4+E4+F4+G4+H4+I4+J4+K4</f>
        <v>4.2851000000000008</v>
      </c>
      <c r="M4" s="43">
        <f>план!B103</f>
        <v>0.34870000000000001</v>
      </c>
      <c r="N4" s="9">
        <f>M4+L4</f>
        <v>4.6338000000000008</v>
      </c>
    </row>
    <row r="5" spans="1:16" x14ac:dyDescent="0.2">
      <c r="A5" s="5"/>
      <c r="B5" s="6"/>
      <c r="C5" s="7"/>
      <c r="D5" s="11">
        <f>ROUND(D4/$N$4,3)</f>
        <v>0.317</v>
      </c>
      <c r="E5" s="11">
        <f t="shared" ref="E5" si="0">ROUND(E4/$N$4,3)</f>
        <v>0.04</v>
      </c>
      <c r="F5" s="11">
        <f t="shared" ref="F5" si="1">ROUND(F4/$N$4,3)</f>
        <v>0.22</v>
      </c>
      <c r="G5" s="11">
        <f t="shared" ref="G5" si="2">ROUND(G4/$N$4,3)</f>
        <v>0.16500000000000001</v>
      </c>
      <c r="H5" s="11">
        <f t="shared" ref="H5" si="3">ROUND(H4/$N$4,3)</f>
        <v>0.17199999999999999</v>
      </c>
      <c r="I5" s="11">
        <v>1E-3</v>
      </c>
      <c r="J5" s="11">
        <f t="shared" ref="J5" si="4">ROUND(J4/$N$4,3)</f>
        <v>4.0000000000000001E-3</v>
      </c>
      <c r="K5" s="11">
        <f t="shared" ref="K5:L5" si="5">ROUND(K4/$N$4,3)</f>
        <v>6.0000000000000001E-3</v>
      </c>
      <c r="L5" s="12">
        <f t="shared" si="5"/>
        <v>0.92500000000000004</v>
      </c>
      <c r="M5" s="44">
        <f>ROUND(M4/$N$4,3)</f>
        <v>7.4999999999999997E-2</v>
      </c>
      <c r="N5" s="84">
        <f>план!B109</f>
        <v>5.5604000000000005</v>
      </c>
      <c r="O5" s="15">
        <f>L5+M5</f>
        <v>1</v>
      </c>
    </row>
    <row r="6" spans="1:16" x14ac:dyDescent="0.2">
      <c r="A6" s="104" t="s">
        <v>20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</row>
    <row r="7" spans="1:16" x14ac:dyDescent="0.2">
      <c r="A7" s="16"/>
      <c r="B7" s="17" t="s">
        <v>7</v>
      </c>
      <c r="C7" s="18">
        <f>[1]Лист1!$C$140/1.2</f>
        <v>14571.691666666666</v>
      </c>
      <c r="D7" s="18">
        <f>$C$7*D5</f>
        <v>4619.2262583333331</v>
      </c>
      <c r="E7" s="18">
        <f t="shared" ref="E7:M7" si="6">$C$7*E5</f>
        <v>582.86766666666665</v>
      </c>
      <c r="F7" s="18">
        <f t="shared" si="6"/>
        <v>3205.7721666666666</v>
      </c>
      <c r="G7" s="18">
        <f t="shared" si="6"/>
        <v>2404.3291249999997</v>
      </c>
      <c r="H7" s="18">
        <f t="shared" si="6"/>
        <v>2506.3309666666664</v>
      </c>
      <c r="I7" s="18">
        <f t="shared" si="6"/>
        <v>14.571691666666666</v>
      </c>
      <c r="J7" s="18">
        <f t="shared" si="6"/>
        <v>58.286766666666665</v>
      </c>
      <c r="K7" s="18">
        <f t="shared" si="6"/>
        <v>87.430149999999998</v>
      </c>
      <c r="L7" s="18">
        <f t="shared" si="6"/>
        <v>13478.814791666666</v>
      </c>
      <c r="M7" s="18">
        <f t="shared" si="6"/>
        <v>1092.8768749999999</v>
      </c>
      <c r="N7" s="18">
        <f>M7+L7</f>
        <v>14571.691666666666</v>
      </c>
      <c r="O7" s="23"/>
      <c r="P7" s="24"/>
    </row>
    <row r="8" spans="1:16" x14ac:dyDescent="0.2">
      <c r="A8" s="16"/>
      <c r="B8" s="17" t="s">
        <v>10</v>
      </c>
      <c r="C8" s="19">
        <f>[1]Лист1!$D$140/1.2</f>
        <v>12959.591666666667</v>
      </c>
      <c r="D8" s="18">
        <f t="shared" ref="D8" si="7">$C$8*D5</f>
        <v>4108.1905583333337</v>
      </c>
      <c r="E8" s="18">
        <f t="shared" ref="E8:M8" si="8">$C$8*E5</f>
        <v>518.38366666666673</v>
      </c>
      <c r="F8" s="18">
        <f t="shared" si="8"/>
        <v>2851.1101666666668</v>
      </c>
      <c r="G8" s="18">
        <f t="shared" si="8"/>
        <v>2138.332625</v>
      </c>
      <c r="H8" s="18">
        <f t="shared" si="8"/>
        <v>2229.0497666666665</v>
      </c>
      <c r="I8" s="18">
        <f t="shared" si="8"/>
        <v>12.959591666666668</v>
      </c>
      <c r="J8" s="18">
        <f t="shared" si="8"/>
        <v>51.838366666666673</v>
      </c>
      <c r="K8" s="18">
        <f t="shared" si="8"/>
        <v>77.757550000000009</v>
      </c>
      <c r="L8" s="18">
        <f t="shared" si="8"/>
        <v>11987.622291666668</v>
      </c>
      <c r="M8" s="18">
        <f t="shared" si="8"/>
        <v>971.96937500000001</v>
      </c>
      <c r="N8" s="18"/>
    </row>
    <row r="9" spans="1:16" x14ac:dyDescent="0.2">
      <c r="A9" s="16"/>
      <c r="B9" s="17" t="s">
        <v>21</v>
      </c>
      <c r="C9" s="19">
        <f>L9+M9</f>
        <v>12541.863599999999</v>
      </c>
      <c r="D9" s="18">
        <f>розрахунок!D36</f>
        <v>6720.3108000000002</v>
      </c>
      <c r="E9" s="18">
        <f>розрахунок!D42</f>
        <v>0</v>
      </c>
      <c r="F9" s="18">
        <f>розрахунок!D44</f>
        <v>117.73</v>
      </c>
      <c r="G9" s="18">
        <f>розрахунок!D46</f>
        <v>440.76</v>
      </c>
      <c r="H9" s="18">
        <f>розрахунок!D60</f>
        <v>3603.4627999999993</v>
      </c>
      <c r="I9" s="25">
        <f>розрахунок!D65</f>
        <v>0</v>
      </c>
      <c r="J9" s="18">
        <f>розрахунок!D69</f>
        <v>0</v>
      </c>
      <c r="K9" s="18">
        <f>розрахунок!D73</f>
        <v>0</v>
      </c>
      <c r="L9" s="20">
        <f>K9+J9+I9+H9+G9+F9+E9+D9</f>
        <v>10882.263599999998</v>
      </c>
      <c r="M9" s="21">
        <f>розрахунок!D76</f>
        <v>1659.6</v>
      </c>
      <c r="N9" s="22">
        <f>M9+L9</f>
        <v>12541.863599999999</v>
      </c>
    </row>
    <row r="10" spans="1:16" x14ac:dyDescent="0.2">
      <c r="A10" s="16"/>
      <c r="B10" s="17" t="s">
        <v>9</v>
      </c>
      <c r="C10" s="19">
        <f>C8-C9</f>
        <v>417.72806666666838</v>
      </c>
      <c r="D10" s="18">
        <f>D8-D9</f>
        <v>-2612.1202416666665</v>
      </c>
      <c r="E10" s="18">
        <f t="shared" ref="E10:M10" si="9">E8-E9</f>
        <v>518.38366666666673</v>
      </c>
      <c r="F10" s="18">
        <f t="shared" si="9"/>
        <v>2733.3801666666668</v>
      </c>
      <c r="G10" s="18">
        <f t="shared" si="9"/>
        <v>1697.572625</v>
      </c>
      <c r="H10" s="18">
        <f t="shared" si="9"/>
        <v>-1374.4130333333328</v>
      </c>
      <c r="I10" s="25">
        <f t="shared" si="9"/>
        <v>12.959591666666668</v>
      </c>
      <c r="J10" s="18">
        <f t="shared" si="9"/>
        <v>51.838366666666673</v>
      </c>
      <c r="K10" s="18">
        <f t="shared" si="9"/>
        <v>77.757550000000009</v>
      </c>
      <c r="L10" s="18">
        <f t="shared" si="9"/>
        <v>1105.35869166667</v>
      </c>
      <c r="M10" s="18">
        <f t="shared" si="9"/>
        <v>-687.6306249999999</v>
      </c>
      <c r="N10" s="102">
        <f>N9/'2025'!C15</f>
        <v>3.9935881547524277</v>
      </c>
      <c r="O10" s="24"/>
    </row>
    <row r="11" spans="1:16" x14ac:dyDescent="0.2">
      <c r="A11" s="104" t="s">
        <v>22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6"/>
    </row>
    <row r="12" spans="1:16" x14ac:dyDescent="0.2">
      <c r="A12" s="16"/>
      <c r="B12" s="17" t="s">
        <v>7</v>
      </c>
      <c r="C12" s="18">
        <f>[1]Лист1!$E$140/1.2</f>
        <v>14571.691666666666</v>
      </c>
      <c r="D12" s="18">
        <f>$C$12*D5</f>
        <v>4619.2262583333331</v>
      </c>
      <c r="E12" s="18">
        <f t="shared" ref="E12:M12" si="10">$C$12*E5</f>
        <v>582.86766666666665</v>
      </c>
      <c r="F12" s="18">
        <f t="shared" si="10"/>
        <v>3205.7721666666666</v>
      </c>
      <c r="G12" s="18">
        <f t="shared" si="10"/>
        <v>2404.3291249999997</v>
      </c>
      <c r="H12" s="18">
        <f t="shared" si="10"/>
        <v>2506.3309666666664</v>
      </c>
      <c r="I12" s="18">
        <f t="shared" si="10"/>
        <v>14.571691666666666</v>
      </c>
      <c r="J12" s="18">
        <f t="shared" si="10"/>
        <v>58.286766666666665</v>
      </c>
      <c r="K12" s="18">
        <f t="shared" si="10"/>
        <v>87.430149999999998</v>
      </c>
      <c r="L12" s="18">
        <f t="shared" si="10"/>
        <v>13478.814791666666</v>
      </c>
      <c r="M12" s="18">
        <f t="shared" si="10"/>
        <v>1092.8768749999999</v>
      </c>
      <c r="N12" s="18">
        <f>M12+L12</f>
        <v>14571.691666666666</v>
      </c>
    </row>
    <row r="13" spans="1:16" x14ac:dyDescent="0.2">
      <c r="A13" s="16"/>
      <c r="B13" s="17" t="s">
        <v>10</v>
      </c>
      <c r="C13" s="19">
        <f>[1]Лист1!$F$140/1.2</f>
        <v>14953.766666666668</v>
      </c>
      <c r="D13" s="18">
        <f>$C$13*D5</f>
        <v>4740.3440333333338</v>
      </c>
      <c r="E13" s="18">
        <f t="shared" ref="E13:M13" si="11">$C$13*E5</f>
        <v>598.15066666666678</v>
      </c>
      <c r="F13" s="18">
        <f t="shared" si="11"/>
        <v>3289.8286666666672</v>
      </c>
      <c r="G13" s="18">
        <f t="shared" si="11"/>
        <v>2467.3715000000002</v>
      </c>
      <c r="H13" s="18">
        <f t="shared" si="11"/>
        <v>2572.0478666666668</v>
      </c>
      <c r="I13" s="18">
        <f t="shared" si="11"/>
        <v>14.953766666666668</v>
      </c>
      <c r="J13" s="18">
        <f t="shared" si="11"/>
        <v>59.815066666666674</v>
      </c>
      <c r="K13" s="18">
        <f t="shared" si="11"/>
        <v>89.722600000000014</v>
      </c>
      <c r="L13" s="18">
        <f t="shared" si="11"/>
        <v>13832.234166666669</v>
      </c>
      <c r="M13" s="18">
        <f t="shared" si="11"/>
        <v>1121.5325</v>
      </c>
      <c r="N13" s="18"/>
    </row>
    <row r="14" spans="1:16" x14ac:dyDescent="0.2">
      <c r="A14" s="16"/>
      <c r="B14" s="17" t="s">
        <v>23</v>
      </c>
      <c r="C14" s="19">
        <f>L14+M14</f>
        <v>13236.897583019392</v>
      </c>
      <c r="D14" s="18">
        <f>розрахунок!E36</f>
        <v>6652.8118999999997</v>
      </c>
      <c r="E14" s="18">
        <f>розрахунок!E42</f>
        <v>0</v>
      </c>
      <c r="F14" s="18">
        <f>розрахунок!E44</f>
        <v>0</v>
      </c>
      <c r="G14" s="18">
        <f>розрахунок!E46</f>
        <v>0</v>
      </c>
      <c r="H14" s="18">
        <f>розрахунок!E60</f>
        <v>4489.4075999999995</v>
      </c>
      <c r="I14" s="25">
        <f>розрахунок!E65</f>
        <v>28.386083019395016</v>
      </c>
      <c r="J14" s="18">
        <f>розрахунок!F69</f>
        <v>507.49200000000002</v>
      </c>
      <c r="K14" s="18">
        <f>розрахунок!E73</f>
        <v>0</v>
      </c>
      <c r="L14" s="20">
        <f>K14+J14+I14+H14+G14+F14+E14+D14</f>
        <v>11678.097583019393</v>
      </c>
      <c r="M14" s="21">
        <f>розрахунок!E76</f>
        <v>1558.8</v>
      </c>
      <c r="N14" s="22">
        <f>M14+L14</f>
        <v>13236.897583019392</v>
      </c>
    </row>
    <row r="15" spans="1:16" x14ac:dyDescent="0.2">
      <c r="A15" s="16"/>
      <c r="B15" s="17" t="s">
        <v>9</v>
      </c>
      <c r="C15" s="19">
        <f>C13-C14</f>
        <v>1716.8690836472761</v>
      </c>
      <c r="D15" s="18">
        <f>D13-D14</f>
        <v>-1912.4678666666659</v>
      </c>
      <c r="E15" s="18">
        <f t="shared" ref="E15:M15" si="12">E13-E14</f>
        <v>598.15066666666678</v>
      </c>
      <c r="F15" s="18">
        <f t="shared" si="12"/>
        <v>3289.8286666666672</v>
      </c>
      <c r="G15" s="18">
        <f t="shared" si="12"/>
        <v>2467.3715000000002</v>
      </c>
      <c r="H15" s="18">
        <f t="shared" si="12"/>
        <v>-1917.3597333333328</v>
      </c>
      <c r="I15" s="25">
        <f t="shared" si="12"/>
        <v>-13.432316352728348</v>
      </c>
      <c r="J15" s="18">
        <f t="shared" si="12"/>
        <v>-447.67693333333335</v>
      </c>
      <c r="K15" s="18">
        <f t="shared" si="12"/>
        <v>89.722600000000014</v>
      </c>
      <c r="L15" s="18">
        <f t="shared" si="12"/>
        <v>2154.136583647276</v>
      </c>
      <c r="M15" s="18">
        <f t="shared" si="12"/>
        <v>-437.26749999999993</v>
      </c>
      <c r="N15" s="102">
        <f>N14/'2025'!C15</f>
        <v>4.2149013160386541</v>
      </c>
      <c r="O15" s="24"/>
    </row>
    <row r="16" spans="1:16" x14ac:dyDescent="0.2">
      <c r="A16" s="104" t="s">
        <v>24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6"/>
    </row>
    <row r="17" spans="1:14" x14ac:dyDescent="0.2">
      <c r="A17" s="16"/>
      <c r="B17" s="17" t="s">
        <v>7</v>
      </c>
      <c r="C17" s="18">
        <f>[1]Лист1!$G$140/1.2</f>
        <v>14571.691666666666</v>
      </c>
      <c r="D17" s="18">
        <f>$C$17*D5</f>
        <v>4619.2262583333331</v>
      </c>
      <c r="E17" s="18">
        <f t="shared" ref="E17:M17" si="13">$C$17*E5</f>
        <v>582.86766666666665</v>
      </c>
      <c r="F17" s="18">
        <f t="shared" si="13"/>
        <v>3205.7721666666666</v>
      </c>
      <c r="G17" s="18">
        <f t="shared" si="13"/>
        <v>2404.3291249999997</v>
      </c>
      <c r="H17" s="18">
        <f t="shared" si="13"/>
        <v>2506.3309666666664</v>
      </c>
      <c r="I17" s="18">
        <f t="shared" si="13"/>
        <v>14.571691666666666</v>
      </c>
      <c r="J17" s="18">
        <f t="shared" si="13"/>
        <v>58.286766666666665</v>
      </c>
      <c r="K17" s="18">
        <f t="shared" si="13"/>
        <v>87.430149999999998</v>
      </c>
      <c r="L17" s="18">
        <f t="shared" si="13"/>
        <v>13478.814791666666</v>
      </c>
      <c r="M17" s="18">
        <f t="shared" si="13"/>
        <v>1092.8768749999999</v>
      </c>
      <c r="N17" s="18">
        <f>M17+L17</f>
        <v>14571.691666666666</v>
      </c>
    </row>
    <row r="18" spans="1:14" x14ac:dyDescent="0.2">
      <c r="A18" s="16"/>
      <c r="B18" s="17" t="s">
        <v>10</v>
      </c>
      <c r="C18" s="19">
        <f>[1]Лист1!$H$140/1.2</f>
        <v>13694.566666666668</v>
      </c>
      <c r="D18" s="18">
        <f>$C$18*D5</f>
        <v>4341.1776333333337</v>
      </c>
      <c r="E18" s="18">
        <f t="shared" ref="E18:M18" si="14">$C$18*E5</f>
        <v>547.78266666666673</v>
      </c>
      <c r="F18" s="18">
        <f t="shared" si="14"/>
        <v>3012.8046666666669</v>
      </c>
      <c r="G18" s="18">
        <f t="shared" si="14"/>
        <v>2259.6035000000002</v>
      </c>
      <c r="H18" s="18">
        <f t="shared" si="14"/>
        <v>2355.4654666666665</v>
      </c>
      <c r="I18" s="18">
        <f t="shared" si="14"/>
        <v>13.694566666666669</v>
      </c>
      <c r="J18" s="18">
        <f t="shared" si="14"/>
        <v>54.778266666666674</v>
      </c>
      <c r="K18" s="18">
        <f t="shared" si="14"/>
        <v>82.167400000000001</v>
      </c>
      <c r="L18" s="18">
        <f t="shared" si="14"/>
        <v>12667.474166666669</v>
      </c>
      <c r="M18" s="18">
        <f t="shared" si="14"/>
        <v>1027.0925</v>
      </c>
      <c r="N18" s="18"/>
    </row>
    <row r="19" spans="1:14" x14ac:dyDescent="0.2">
      <c r="A19" s="16"/>
      <c r="B19" s="17" t="s">
        <v>8</v>
      </c>
      <c r="C19" s="19">
        <f>L19+M19</f>
        <v>12892.063200000001</v>
      </c>
      <c r="D19" s="18">
        <f>розрахунок!F36</f>
        <v>6518.2997000000005</v>
      </c>
      <c r="E19" s="18">
        <f>розрахунок!F42</f>
        <v>0</v>
      </c>
      <c r="F19" s="18">
        <f>розрахунок!F44</f>
        <v>0</v>
      </c>
      <c r="G19" s="18">
        <f>розрахунок!F46</f>
        <v>0</v>
      </c>
      <c r="H19" s="18">
        <f>розрахунок!F60</f>
        <v>3958.2714999999998</v>
      </c>
      <c r="I19" s="25">
        <f>розрахунок!F65</f>
        <v>0</v>
      </c>
      <c r="J19" s="18">
        <f>розрахунок!F69</f>
        <v>507.49200000000002</v>
      </c>
      <c r="K19" s="18">
        <f>розрахунок!F73</f>
        <v>0</v>
      </c>
      <c r="L19" s="20">
        <f>K19+J19+I19+H19+G19+F19+E19+D19</f>
        <v>10984.063200000001</v>
      </c>
      <c r="M19" s="21">
        <f>розрахунок!F76</f>
        <v>1908</v>
      </c>
      <c r="N19" s="22">
        <f>M19+L19</f>
        <v>12892.063200000001</v>
      </c>
    </row>
    <row r="20" spans="1:14" x14ac:dyDescent="0.2">
      <c r="A20" s="16"/>
      <c r="B20" s="17" t="s">
        <v>9</v>
      </c>
      <c r="C20" s="19">
        <f>C18-C19</f>
        <v>802.50346666666701</v>
      </c>
      <c r="D20" s="18">
        <f>D18-D19</f>
        <v>-2177.1220666666668</v>
      </c>
      <c r="E20" s="18">
        <f t="shared" ref="E20:M20" si="15">E18-E19</f>
        <v>547.78266666666673</v>
      </c>
      <c r="F20" s="18">
        <f t="shared" si="15"/>
        <v>3012.8046666666669</v>
      </c>
      <c r="G20" s="18">
        <f t="shared" si="15"/>
        <v>2259.6035000000002</v>
      </c>
      <c r="H20" s="18">
        <f t="shared" si="15"/>
        <v>-1602.8060333333333</v>
      </c>
      <c r="I20" s="25">
        <f t="shared" si="15"/>
        <v>13.694566666666669</v>
      </c>
      <c r="J20" s="18">
        <f t="shared" si="15"/>
        <v>-452.71373333333332</v>
      </c>
      <c r="K20" s="18">
        <f t="shared" si="15"/>
        <v>82.167400000000001</v>
      </c>
      <c r="L20" s="18">
        <f t="shared" si="15"/>
        <v>1683.4109666666682</v>
      </c>
      <c r="M20" s="18">
        <f t="shared" si="15"/>
        <v>-880.90750000000003</v>
      </c>
      <c r="N20" s="102">
        <f>N19/'2025'!C15</f>
        <v>4.1050989332908774</v>
      </c>
    </row>
    <row r="21" spans="1:14" ht="12.75" customHeight="1" x14ac:dyDescent="0.2">
      <c r="A21" s="104" t="s">
        <v>25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6"/>
    </row>
    <row r="22" spans="1:14" x14ac:dyDescent="0.2">
      <c r="A22" s="16"/>
      <c r="B22" s="17" t="s">
        <v>7</v>
      </c>
      <c r="C22" s="18">
        <f>[1]Лист1!$I$140/1.2</f>
        <v>14571.683333333334</v>
      </c>
      <c r="D22" s="18">
        <f>$C$22*D5</f>
        <v>4619.2236166666671</v>
      </c>
      <c r="E22" s="18">
        <f t="shared" ref="E22:M22" si="16">$C$22*E5</f>
        <v>582.86733333333336</v>
      </c>
      <c r="F22" s="18">
        <f t="shared" si="16"/>
        <v>3205.7703333333334</v>
      </c>
      <c r="G22" s="18">
        <f t="shared" si="16"/>
        <v>2404.3277500000004</v>
      </c>
      <c r="H22" s="18">
        <f t="shared" si="16"/>
        <v>2506.3295333333331</v>
      </c>
      <c r="I22" s="18">
        <f t="shared" si="16"/>
        <v>14.571683333333334</v>
      </c>
      <c r="J22" s="18">
        <f t="shared" si="16"/>
        <v>58.286733333333338</v>
      </c>
      <c r="K22" s="18">
        <f t="shared" si="16"/>
        <v>87.43010000000001</v>
      </c>
      <c r="L22" s="18">
        <f t="shared" si="16"/>
        <v>13478.807083333335</v>
      </c>
      <c r="M22" s="18">
        <f t="shared" si="16"/>
        <v>1092.87625</v>
      </c>
      <c r="N22" s="18">
        <f>M22+L22</f>
        <v>14571.683333333334</v>
      </c>
    </row>
    <row r="23" spans="1:14" x14ac:dyDescent="0.2">
      <c r="A23" s="16"/>
      <c r="B23" s="17" t="s">
        <v>10</v>
      </c>
      <c r="C23" s="19">
        <f>[1]Лист1!$J$140/1.2</f>
        <v>13210.308333333334</v>
      </c>
      <c r="D23" s="18">
        <f>$C$23*D5</f>
        <v>4187.6677416666671</v>
      </c>
      <c r="E23" s="18">
        <f t="shared" ref="E23:M23" si="17">$C$23*E5</f>
        <v>528.41233333333344</v>
      </c>
      <c r="F23" s="18">
        <f t="shared" si="17"/>
        <v>2906.2678333333338</v>
      </c>
      <c r="G23" s="18">
        <f t="shared" si="17"/>
        <v>2179.7008750000005</v>
      </c>
      <c r="H23" s="18">
        <f t="shared" si="17"/>
        <v>2272.1730333333335</v>
      </c>
      <c r="I23" s="18">
        <f t="shared" si="17"/>
        <v>13.210308333333334</v>
      </c>
      <c r="J23" s="18">
        <f t="shared" si="17"/>
        <v>52.841233333333335</v>
      </c>
      <c r="K23" s="18">
        <f t="shared" si="17"/>
        <v>79.26185000000001</v>
      </c>
      <c r="L23" s="18">
        <f t="shared" si="17"/>
        <v>12219.535208333335</v>
      </c>
      <c r="M23" s="18">
        <f t="shared" si="17"/>
        <v>990.77312500000005</v>
      </c>
      <c r="N23" s="18"/>
    </row>
    <row r="24" spans="1:14" x14ac:dyDescent="0.2">
      <c r="A24" s="16"/>
      <c r="B24" s="17" t="s">
        <v>8</v>
      </c>
      <c r="C24" s="19">
        <f>L24+M24</f>
        <v>11685.225399999999</v>
      </c>
      <c r="D24" s="18">
        <f>розрахунок!G36</f>
        <v>6458.2257999999993</v>
      </c>
      <c r="E24" s="18">
        <f>розрахунок!G42</f>
        <v>0</v>
      </c>
      <c r="F24" s="18">
        <f>розрахунок!G44</f>
        <v>0</v>
      </c>
      <c r="G24" s="18">
        <f>розрахунок!G46</f>
        <v>0</v>
      </c>
      <c r="H24" s="18">
        <f>розрахунок!G60</f>
        <v>3365.7995999999998</v>
      </c>
      <c r="I24" s="25">
        <f>розрахунок!G65</f>
        <v>0</v>
      </c>
      <c r="J24" s="18">
        <f>розрахунок!G69</f>
        <v>0</v>
      </c>
      <c r="K24" s="18">
        <f>розрахунок!G73</f>
        <v>0</v>
      </c>
      <c r="L24" s="20">
        <f>K24+J24+I24+H24+G24+F24+E24+D24</f>
        <v>9824.0253999999986</v>
      </c>
      <c r="M24" s="21">
        <f>розрахунок!G76</f>
        <v>1861.2</v>
      </c>
      <c r="N24" s="22">
        <f>M24+L24</f>
        <v>11685.225399999999</v>
      </c>
    </row>
    <row r="25" spans="1:14" x14ac:dyDescent="0.2">
      <c r="A25" s="16"/>
      <c r="B25" s="17" t="s">
        <v>9</v>
      </c>
      <c r="C25" s="19">
        <f>C23-C24</f>
        <v>1525.0829333333349</v>
      </c>
      <c r="D25" s="18">
        <f>D23-D24</f>
        <v>-2270.5580583333322</v>
      </c>
      <c r="E25" s="18">
        <f t="shared" ref="E25:M25" si="18">E23-E24</f>
        <v>528.41233333333344</v>
      </c>
      <c r="F25" s="18">
        <f t="shared" si="18"/>
        <v>2906.2678333333338</v>
      </c>
      <c r="G25" s="18">
        <f t="shared" si="18"/>
        <v>2179.7008750000005</v>
      </c>
      <c r="H25" s="18">
        <f t="shared" si="18"/>
        <v>-1093.6265666666663</v>
      </c>
      <c r="I25" s="25">
        <f t="shared" si="18"/>
        <v>13.210308333333334</v>
      </c>
      <c r="J25" s="18">
        <f t="shared" si="18"/>
        <v>52.841233333333335</v>
      </c>
      <c r="K25" s="18">
        <f t="shared" si="18"/>
        <v>79.26185000000001</v>
      </c>
      <c r="L25" s="18">
        <f t="shared" si="18"/>
        <v>2395.509808333336</v>
      </c>
      <c r="M25" s="18">
        <f t="shared" si="18"/>
        <v>-870.426875</v>
      </c>
      <c r="N25" s="102">
        <f>N24/'2025'!C15</f>
        <v>3.7208168762935836</v>
      </c>
    </row>
    <row r="26" spans="1:14" ht="12.75" customHeight="1" x14ac:dyDescent="0.2">
      <c r="A26" s="104" t="s">
        <v>26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6"/>
    </row>
    <row r="27" spans="1:14" x14ac:dyDescent="0.2">
      <c r="A27" s="16"/>
      <c r="B27" s="17" t="s">
        <v>7</v>
      </c>
      <c r="C27" s="18">
        <f>[1]Лист1!$K$140/1.2</f>
        <v>14571.691666666666</v>
      </c>
      <c r="D27" s="18">
        <f>$C$27*D5</f>
        <v>4619.2262583333331</v>
      </c>
      <c r="E27" s="18">
        <f t="shared" ref="E27:M27" si="19">$C$27*E5</f>
        <v>582.86766666666665</v>
      </c>
      <c r="F27" s="18">
        <f t="shared" si="19"/>
        <v>3205.7721666666666</v>
      </c>
      <c r="G27" s="18">
        <f t="shared" si="19"/>
        <v>2404.3291249999997</v>
      </c>
      <c r="H27" s="18">
        <f t="shared" si="19"/>
        <v>2506.3309666666664</v>
      </c>
      <c r="I27" s="18">
        <f t="shared" si="19"/>
        <v>14.571691666666666</v>
      </c>
      <c r="J27" s="18">
        <f t="shared" si="19"/>
        <v>58.286766666666665</v>
      </c>
      <c r="K27" s="18">
        <f t="shared" si="19"/>
        <v>87.430149999999998</v>
      </c>
      <c r="L27" s="18">
        <f t="shared" si="19"/>
        <v>13478.814791666666</v>
      </c>
      <c r="M27" s="18">
        <f t="shared" si="19"/>
        <v>1092.8768749999999</v>
      </c>
      <c r="N27" s="18">
        <f>M27+L27</f>
        <v>14571.691666666666</v>
      </c>
    </row>
    <row r="28" spans="1:14" x14ac:dyDescent="0.2">
      <c r="A28" s="16"/>
      <c r="B28" s="17" t="s">
        <v>10</v>
      </c>
      <c r="C28" s="19">
        <f>[1]Лист1!$L$140/1.2</f>
        <v>12578.758333333333</v>
      </c>
      <c r="D28" s="18">
        <f>$C$28*D5</f>
        <v>3987.4663916666668</v>
      </c>
      <c r="E28" s="18">
        <f t="shared" ref="E28:M28" si="20">$C$28*E5</f>
        <v>503.15033333333332</v>
      </c>
      <c r="F28" s="18">
        <f t="shared" si="20"/>
        <v>2767.3268333333335</v>
      </c>
      <c r="G28" s="18">
        <f t="shared" si="20"/>
        <v>2075.4951249999999</v>
      </c>
      <c r="H28" s="18">
        <f t="shared" si="20"/>
        <v>2163.546433333333</v>
      </c>
      <c r="I28" s="18">
        <f t="shared" si="20"/>
        <v>12.578758333333333</v>
      </c>
      <c r="J28" s="18">
        <f t="shared" si="20"/>
        <v>50.315033333333332</v>
      </c>
      <c r="K28" s="18">
        <f t="shared" si="20"/>
        <v>75.472549999999998</v>
      </c>
      <c r="L28" s="18">
        <f t="shared" si="20"/>
        <v>11635.351458333334</v>
      </c>
      <c r="M28" s="18">
        <f t="shared" si="20"/>
        <v>943.4068749999999</v>
      </c>
      <c r="N28" s="18"/>
    </row>
    <row r="29" spans="1:14" x14ac:dyDescent="0.2">
      <c r="A29" s="16"/>
      <c r="B29" s="17" t="s">
        <v>8</v>
      </c>
      <c r="C29" s="19">
        <f>L29+M29</f>
        <v>15675.570299999999</v>
      </c>
      <c r="D29" s="18">
        <f>розрахунок!H36</f>
        <v>6298.0262000000002</v>
      </c>
      <c r="E29" s="18">
        <f>розрахунок!H42</f>
        <v>3628.8</v>
      </c>
      <c r="F29" s="18">
        <f>розрахунок!H44</f>
        <v>0</v>
      </c>
      <c r="G29" s="18">
        <f>розрахунок!H46</f>
        <v>0</v>
      </c>
      <c r="H29" s="18">
        <f>розрахунок!H60</f>
        <v>3499.5181000000002</v>
      </c>
      <c r="I29" s="25">
        <f>розрахунок!H65</f>
        <v>0</v>
      </c>
      <c r="J29" s="18">
        <f>розрахунок!H69</f>
        <v>0</v>
      </c>
      <c r="K29" s="18">
        <f>розрахунок!H73</f>
        <v>665.226</v>
      </c>
      <c r="L29" s="20">
        <f>K29+J29+I29+H29+G29+F29+E29+D29</f>
        <v>14091.570299999999</v>
      </c>
      <c r="M29" s="21">
        <f>розрахунок!H76</f>
        <v>1584</v>
      </c>
      <c r="N29" s="22">
        <f>M29+L29</f>
        <v>15675.570299999999</v>
      </c>
    </row>
    <row r="30" spans="1:14" x14ac:dyDescent="0.2">
      <c r="A30" s="16"/>
      <c r="B30" s="17" t="s">
        <v>9</v>
      </c>
      <c r="C30" s="19">
        <f>C28-C29</f>
        <v>-3096.8119666666662</v>
      </c>
      <c r="D30" s="18">
        <f>D28-D29</f>
        <v>-2310.5598083333334</v>
      </c>
      <c r="E30" s="18">
        <f t="shared" ref="E30:M30" si="21">E28-E29</f>
        <v>-3125.6496666666667</v>
      </c>
      <c r="F30" s="18">
        <f t="shared" si="21"/>
        <v>2767.3268333333335</v>
      </c>
      <c r="G30" s="18">
        <f t="shared" si="21"/>
        <v>2075.4951249999999</v>
      </c>
      <c r="H30" s="18">
        <f t="shared" si="21"/>
        <v>-1335.9716666666673</v>
      </c>
      <c r="I30" s="25">
        <f t="shared" si="21"/>
        <v>12.578758333333333</v>
      </c>
      <c r="J30" s="18">
        <f t="shared" si="21"/>
        <v>50.315033333333332</v>
      </c>
      <c r="K30" s="18">
        <f t="shared" si="21"/>
        <v>-589.75345000000004</v>
      </c>
      <c r="L30" s="18">
        <f t="shared" si="21"/>
        <v>-2456.218841666665</v>
      </c>
      <c r="M30" s="18">
        <f t="shared" si="21"/>
        <v>-640.5931250000001</v>
      </c>
      <c r="N30" s="102">
        <f>N29/'2025'!C15</f>
        <v>4.9914250278618049</v>
      </c>
    </row>
    <row r="31" spans="1:14" x14ac:dyDescent="0.2">
      <c r="A31" s="104" t="s">
        <v>29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6"/>
    </row>
    <row r="32" spans="1:14" x14ac:dyDescent="0.2">
      <c r="A32" s="16"/>
      <c r="B32" s="17" t="s">
        <v>7</v>
      </c>
      <c r="C32" s="18">
        <f>[1]Лист1!$M$140/1.2</f>
        <v>14571.691666666666</v>
      </c>
      <c r="D32" s="18">
        <f>$C$32*D5</f>
        <v>4619.2262583333331</v>
      </c>
      <c r="E32" s="18">
        <f t="shared" ref="E32:M32" si="22">$C$32*E5</f>
        <v>582.86766666666665</v>
      </c>
      <c r="F32" s="18">
        <f t="shared" si="22"/>
        <v>3205.7721666666666</v>
      </c>
      <c r="G32" s="18">
        <f t="shared" si="22"/>
        <v>2404.3291249999997</v>
      </c>
      <c r="H32" s="18">
        <f t="shared" si="22"/>
        <v>2506.3309666666664</v>
      </c>
      <c r="I32" s="18">
        <f t="shared" si="22"/>
        <v>14.571691666666666</v>
      </c>
      <c r="J32" s="18">
        <f t="shared" si="22"/>
        <v>58.286766666666665</v>
      </c>
      <c r="K32" s="18">
        <f t="shared" si="22"/>
        <v>87.430149999999998</v>
      </c>
      <c r="L32" s="18">
        <f t="shared" si="22"/>
        <v>13478.814791666666</v>
      </c>
      <c r="M32" s="18">
        <f t="shared" si="22"/>
        <v>1092.8768749999999</v>
      </c>
      <c r="N32" s="18">
        <f>M32+L32</f>
        <v>14571.691666666666</v>
      </c>
    </row>
    <row r="33" spans="1:14" x14ac:dyDescent="0.2">
      <c r="A33" s="16"/>
      <c r="B33" s="17" t="s">
        <v>10</v>
      </c>
      <c r="C33" s="19">
        <f>[1]Лист1!$N$140/1.2</f>
        <v>13777.958333333334</v>
      </c>
      <c r="D33" s="18">
        <f>$C$33*D5</f>
        <v>4367.6127916666674</v>
      </c>
      <c r="E33" s="18">
        <f t="shared" ref="E33:M33" si="23">$C$33*E5</f>
        <v>551.11833333333334</v>
      </c>
      <c r="F33" s="18">
        <f t="shared" si="23"/>
        <v>3031.1508333333336</v>
      </c>
      <c r="G33" s="18">
        <f t="shared" si="23"/>
        <v>2273.3631250000003</v>
      </c>
      <c r="H33" s="18">
        <f t="shared" si="23"/>
        <v>2369.808833333333</v>
      </c>
      <c r="I33" s="18">
        <f t="shared" si="23"/>
        <v>13.777958333333334</v>
      </c>
      <c r="J33" s="18">
        <f t="shared" si="23"/>
        <v>55.111833333333337</v>
      </c>
      <c r="K33" s="18">
        <f t="shared" si="23"/>
        <v>82.667750000000012</v>
      </c>
      <c r="L33" s="18">
        <f t="shared" si="23"/>
        <v>12744.611458333335</v>
      </c>
      <c r="M33" s="18">
        <f t="shared" si="23"/>
        <v>1033.346875</v>
      </c>
      <c r="N33" s="18"/>
    </row>
    <row r="34" spans="1:14" x14ac:dyDescent="0.2">
      <c r="A34" s="16"/>
      <c r="B34" s="17" t="s">
        <v>8</v>
      </c>
      <c r="C34" s="19">
        <f>L34+M34</f>
        <v>10453.759100000001</v>
      </c>
      <c r="D34" s="18">
        <f>розрахунок!I36</f>
        <v>5383.5564000000004</v>
      </c>
      <c r="E34" s="18">
        <f>розрахунок!I42</f>
        <v>0</v>
      </c>
      <c r="F34" s="18">
        <f>розрахунок!I44</f>
        <v>0</v>
      </c>
      <c r="G34" s="18">
        <f>розрахунок!I46</f>
        <v>0</v>
      </c>
      <c r="H34" s="18">
        <f>розрахунок!I60</f>
        <v>3443.0027</v>
      </c>
      <c r="I34" s="25">
        <f>розрахунок!I65</f>
        <v>0</v>
      </c>
      <c r="J34" s="18">
        <f>розрахунок!I69</f>
        <v>0</v>
      </c>
      <c r="K34" s="18">
        <f>розрахунок!I73</f>
        <v>0</v>
      </c>
      <c r="L34" s="20">
        <f>K34+J34+I34+H34+G34+F34+E34+D34</f>
        <v>8826.5591000000004</v>
      </c>
      <c r="M34" s="21">
        <f>розрахунок!I76</f>
        <v>1627.2</v>
      </c>
      <c r="N34" s="22">
        <f>M34+L34</f>
        <v>10453.759100000001</v>
      </c>
    </row>
    <row r="35" spans="1:14" x14ac:dyDescent="0.2">
      <c r="A35" s="16"/>
      <c r="B35" s="17" t="s">
        <v>9</v>
      </c>
      <c r="C35" s="19">
        <f>C33-C34</f>
        <v>3324.1992333333328</v>
      </c>
      <c r="D35" s="18">
        <f>D33-D34</f>
        <v>-1015.943608333333</v>
      </c>
      <c r="E35" s="18">
        <f t="shared" ref="E35:M35" si="24">E33-E34</f>
        <v>551.11833333333334</v>
      </c>
      <c r="F35" s="18">
        <f t="shared" si="24"/>
        <v>3031.1508333333336</v>
      </c>
      <c r="G35" s="18">
        <f t="shared" si="24"/>
        <v>2273.3631250000003</v>
      </c>
      <c r="H35" s="18">
        <f t="shared" si="24"/>
        <v>-1073.193866666667</v>
      </c>
      <c r="I35" s="25">
        <f t="shared" si="24"/>
        <v>13.777958333333334</v>
      </c>
      <c r="J35" s="18">
        <f t="shared" si="24"/>
        <v>55.111833333333337</v>
      </c>
      <c r="K35" s="18">
        <f t="shared" si="24"/>
        <v>82.667750000000012</v>
      </c>
      <c r="L35" s="18">
        <f t="shared" si="24"/>
        <v>3918.0523583333343</v>
      </c>
      <c r="M35" s="18">
        <f t="shared" si="24"/>
        <v>-593.85312500000009</v>
      </c>
      <c r="N35" s="102">
        <f>N34/'2025'!C15</f>
        <v>3.3286925967202676</v>
      </c>
    </row>
    <row r="36" spans="1:14" x14ac:dyDescent="0.2">
      <c r="A36" s="104" t="s">
        <v>30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6"/>
    </row>
    <row r="37" spans="1:14" x14ac:dyDescent="0.2">
      <c r="A37" s="16"/>
      <c r="B37" s="17" t="s">
        <v>7</v>
      </c>
      <c r="C37" s="18">
        <f>[1]Лист1!$O$140/1.2</f>
        <v>14571.691666666666</v>
      </c>
      <c r="D37" s="18">
        <f>$C$37*D5</f>
        <v>4619.2262583333331</v>
      </c>
      <c r="E37" s="18">
        <f t="shared" ref="E37:M37" si="25">$C$37*E5</f>
        <v>582.86766666666665</v>
      </c>
      <c r="F37" s="18">
        <f t="shared" si="25"/>
        <v>3205.7721666666666</v>
      </c>
      <c r="G37" s="18">
        <f t="shared" si="25"/>
        <v>2404.3291249999997</v>
      </c>
      <c r="H37" s="18">
        <f t="shared" si="25"/>
        <v>2506.3309666666664</v>
      </c>
      <c r="I37" s="18">
        <f t="shared" si="25"/>
        <v>14.571691666666666</v>
      </c>
      <c r="J37" s="18">
        <f t="shared" si="25"/>
        <v>58.286766666666665</v>
      </c>
      <c r="K37" s="18">
        <f t="shared" si="25"/>
        <v>87.430149999999998</v>
      </c>
      <c r="L37" s="18">
        <f t="shared" si="25"/>
        <v>13478.814791666666</v>
      </c>
      <c r="M37" s="18">
        <f t="shared" si="25"/>
        <v>1092.8768749999999</v>
      </c>
      <c r="N37" s="18">
        <f>M37+L37</f>
        <v>14571.691666666666</v>
      </c>
    </row>
    <row r="38" spans="1:14" x14ac:dyDescent="0.2">
      <c r="A38" s="16"/>
      <c r="B38" s="17" t="s">
        <v>10</v>
      </c>
      <c r="C38" s="19">
        <f>[1]Лист1!$P$140/1.2</f>
        <v>14181.991666666667</v>
      </c>
      <c r="D38" s="18">
        <f>$C$38*D5</f>
        <v>4495.6913583333335</v>
      </c>
      <c r="E38" s="18">
        <f t="shared" ref="E38:M38" si="26">$C$38*E5</f>
        <v>567.27966666666669</v>
      </c>
      <c r="F38" s="18">
        <f t="shared" si="26"/>
        <v>3120.0381666666667</v>
      </c>
      <c r="G38" s="18">
        <f t="shared" si="26"/>
        <v>2340.0286249999999</v>
      </c>
      <c r="H38" s="18">
        <f t="shared" si="26"/>
        <v>2439.3025666666663</v>
      </c>
      <c r="I38" s="18">
        <f t="shared" si="26"/>
        <v>14.181991666666667</v>
      </c>
      <c r="J38" s="18">
        <f t="shared" si="26"/>
        <v>56.727966666666667</v>
      </c>
      <c r="K38" s="18">
        <f t="shared" si="26"/>
        <v>85.091949999999997</v>
      </c>
      <c r="L38" s="18">
        <f t="shared" si="26"/>
        <v>13118.342291666668</v>
      </c>
      <c r="M38" s="18">
        <f t="shared" si="26"/>
        <v>1063.649375</v>
      </c>
      <c r="N38" s="18"/>
    </row>
    <row r="39" spans="1:14" x14ac:dyDescent="0.2">
      <c r="A39" s="16"/>
      <c r="B39" s="17" t="s">
        <v>8</v>
      </c>
      <c r="C39" s="19">
        <f>L39+M39</f>
        <v>18875.664099999998</v>
      </c>
      <c r="D39" s="18">
        <f>розрахунок!J36</f>
        <v>6605.4809000000005</v>
      </c>
      <c r="E39" s="18">
        <f>розрахунок!J42</f>
        <v>0</v>
      </c>
      <c r="F39" s="18">
        <f>розрахунок!J44</f>
        <v>0</v>
      </c>
      <c r="G39" s="18">
        <f>розрахунок!J46</f>
        <v>5447</v>
      </c>
      <c r="H39" s="18">
        <f>розрахунок!J60</f>
        <v>4707.1571999999996</v>
      </c>
      <c r="I39" s="18">
        <f>розрахунок!J65</f>
        <v>0</v>
      </c>
      <c r="J39" s="18">
        <f>розрахунок!J69</f>
        <v>0</v>
      </c>
      <c r="K39" s="18">
        <f>розрахунок!J73</f>
        <v>665.226</v>
      </c>
      <c r="L39" s="20">
        <f>K39+J39+I39+H39+G39+F39+E39+D39</f>
        <v>17424.864099999999</v>
      </c>
      <c r="M39" s="21">
        <f>розрахунок!J76</f>
        <v>1450.8</v>
      </c>
      <c r="N39" s="22">
        <f>M39+L39</f>
        <v>18875.664099999998</v>
      </c>
    </row>
    <row r="40" spans="1:14" x14ac:dyDescent="0.2">
      <c r="A40" s="16"/>
      <c r="B40" s="17" t="s">
        <v>9</v>
      </c>
      <c r="C40" s="19">
        <f>C38-C39</f>
        <v>-4693.6724333333314</v>
      </c>
      <c r="D40" s="18">
        <f>D38-D39</f>
        <v>-2109.789541666667</v>
      </c>
      <c r="E40" s="18">
        <f t="shared" ref="E40:M40" si="27">E38-E39</f>
        <v>567.27966666666669</v>
      </c>
      <c r="F40" s="18">
        <f t="shared" si="27"/>
        <v>3120.0381666666667</v>
      </c>
      <c r="G40" s="18">
        <f t="shared" si="27"/>
        <v>-3106.9713750000001</v>
      </c>
      <c r="H40" s="18">
        <f t="shared" si="27"/>
        <v>-2267.8546333333334</v>
      </c>
      <c r="I40" s="25">
        <f t="shared" si="27"/>
        <v>14.181991666666667</v>
      </c>
      <c r="J40" s="18">
        <f t="shared" si="27"/>
        <v>56.727966666666667</v>
      </c>
      <c r="K40" s="18">
        <f t="shared" si="27"/>
        <v>-580.13405</v>
      </c>
      <c r="L40" s="18">
        <f t="shared" si="27"/>
        <v>-4306.5218083333311</v>
      </c>
      <c r="M40" s="18">
        <f t="shared" si="27"/>
        <v>-387.15062499999999</v>
      </c>
      <c r="N40" s="102">
        <f>N39/'2025'!C15</f>
        <v>6.0104009234198372</v>
      </c>
    </row>
    <row r="41" spans="1:14" x14ac:dyDescent="0.2">
      <c r="A41" s="104" t="s">
        <v>31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6"/>
    </row>
    <row r="42" spans="1:14" x14ac:dyDescent="0.2">
      <c r="A42" s="16"/>
      <c r="B42" s="17" t="s">
        <v>7</v>
      </c>
      <c r="C42" s="18">
        <f>[1]Лист1!$Q$140/1.2</f>
        <v>14571.683333333334</v>
      </c>
      <c r="D42" s="18">
        <f>$C$42*D5</f>
        <v>4619.2236166666671</v>
      </c>
      <c r="E42" s="18">
        <f t="shared" ref="E42:M42" si="28">$C$42*E5</f>
        <v>582.86733333333336</v>
      </c>
      <c r="F42" s="18">
        <f t="shared" si="28"/>
        <v>3205.7703333333334</v>
      </c>
      <c r="G42" s="18">
        <f t="shared" si="28"/>
        <v>2404.3277500000004</v>
      </c>
      <c r="H42" s="18">
        <f t="shared" si="28"/>
        <v>2506.3295333333331</v>
      </c>
      <c r="I42" s="18">
        <f t="shared" si="28"/>
        <v>14.571683333333334</v>
      </c>
      <c r="J42" s="18">
        <f t="shared" si="28"/>
        <v>58.286733333333338</v>
      </c>
      <c r="K42" s="18">
        <f t="shared" si="28"/>
        <v>87.43010000000001</v>
      </c>
      <c r="L42" s="18">
        <f t="shared" si="28"/>
        <v>13478.807083333335</v>
      </c>
      <c r="M42" s="18">
        <f t="shared" si="28"/>
        <v>1092.87625</v>
      </c>
      <c r="N42" s="18">
        <f>M42+L42</f>
        <v>14571.683333333334</v>
      </c>
    </row>
    <row r="43" spans="1:14" x14ac:dyDescent="0.2">
      <c r="A43" s="16"/>
      <c r="B43" s="17" t="s">
        <v>10</v>
      </c>
      <c r="C43" s="19">
        <f>[1]Лист1!$R$140/1.2</f>
        <v>12034.391666666668</v>
      </c>
      <c r="D43" s="18">
        <f>$C$43*D5</f>
        <v>3814.9021583333338</v>
      </c>
      <c r="E43" s="18">
        <f t="shared" ref="E43:M43" si="29">$C$43*E5</f>
        <v>481.37566666666675</v>
      </c>
      <c r="F43" s="18">
        <f t="shared" si="29"/>
        <v>2647.566166666667</v>
      </c>
      <c r="G43" s="18">
        <f t="shared" si="29"/>
        <v>1985.6746250000003</v>
      </c>
      <c r="H43" s="18">
        <f t="shared" si="29"/>
        <v>2069.9153666666666</v>
      </c>
      <c r="I43" s="18">
        <f t="shared" si="29"/>
        <v>12.034391666666668</v>
      </c>
      <c r="J43" s="18">
        <f t="shared" si="29"/>
        <v>48.137566666666672</v>
      </c>
      <c r="K43" s="18">
        <f t="shared" si="29"/>
        <v>72.206350000000015</v>
      </c>
      <c r="L43" s="18">
        <f t="shared" si="29"/>
        <v>11131.812291666669</v>
      </c>
      <c r="M43" s="18">
        <f t="shared" si="29"/>
        <v>902.57937500000014</v>
      </c>
      <c r="N43" s="18"/>
    </row>
    <row r="44" spans="1:14" x14ac:dyDescent="0.2">
      <c r="A44" s="16"/>
      <c r="B44" s="17" t="s">
        <v>8</v>
      </c>
      <c r="C44" s="19">
        <f>L44+M44</f>
        <v>11716.892100000001</v>
      </c>
      <c r="D44" s="18">
        <f>розрахунок!K36</f>
        <v>5515.436200000001</v>
      </c>
      <c r="E44" s="18">
        <f>розрахунок!K42</f>
        <v>0</v>
      </c>
      <c r="F44" s="18">
        <f>розрахунок!K44</f>
        <v>0</v>
      </c>
      <c r="G44" s="18">
        <f>розрахунок!K46</f>
        <v>25.26</v>
      </c>
      <c r="H44" s="18">
        <f>розрахунок!K60</f>
        <v>4541.7959000000001</v>
      </c>
      <c r="I44" s="25">
        <f>розрахунок!K65</f>
        <v>0</v>
      </c>
      <c r="J44" s="18">
        <f>розрахунок!K69</f>
        <v>0</v>
      </c>
      <c r="K44" s="18">
        <f>розрахунок!K73</f>
        <v>0</v>
      </c>
      <c r="L44" s="20">
        <f>K44+J44+I44+H44+G44+F44+E44+D44</f>
        <v>10082.492100000001</v>
      </c>
      <c r="M44" s="21">
        <f>розрахунок!K76</f>
        <v>1634.4</v>
      </c>
      <c r="N44" s="22">
        <f>M44+L44</f>
        <v>11716.892100000001</v>
      </c>
    </row>
    <row r="45" spans="1:14" x14ac:dyDescent="0.2">
      <c r="A45" s="16"/>
      <c r="B45" s="17" t="s">
        <v>9</v>
      </c>
      <c r="C45" s="19">
        <f>C43-C44</f>
        <v>317.49956666666731</v>
      </c>
      <c r="D45" s="18">
        <f>D43-D44</f>
        <v>-1700.5340416666672</v>
      </c>
      <c r="E45" s="18">
        <f t="shared" ref="E45:M45" si="30">E43-E44</f>
        <v>481.37566666666675</v>
      </c>
      <c r="F45" s="18">
        <f t="shared" si="30"/>
        <v>2647.566166666667</v>
      </c>
      <c r="G45" s="18">
        <f t="shared" si="30"/>
        <v>1960.4146250000003</v>
      </c>
      <c r="H45" s="18">
        <f t="shared" si="30"/>
        <v>-2471.8805333333335</v>
      </c>
      <c r="I45" s="25">
        <f t="shared" si="30"/>
        <v>12.034391666666668</v>
      </c>
      <c r="J45" s="18">
        <f t="shared" si="30"/>
        <v>48.137566666666672</v>
      </c>
      <c r="K45" s="18">
        <f t="shared" si="30"/>
        <v>72.206350000000015</v>
      </c>
      <c r="L45" s="18">
        <f t="shared" si="30"/>
        <v>1049.3201916666676</v>
      </c>
      <c r="M45" s="18">
        <f t="shared" si="30"/>
        <v>-731.82062499999995</v>
      </c>
      <c r="N45" s="102">
        <f>N44/'2025'!C15</f>
        <v>3.7309002069734123</v>
      </c>
    </row>
    <row r="46" spans="1:14" x14ac:dyDescent="0.2">
      <c r="A46" s="104" t="s">
        <v>32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6"/>
    </row>
    <row r="47" spans="1:14" x14ac:dyDescent="0.2">
      <c r="A47" s="16"/>
      <c r="B47" s="17" t="s">
        <v>7</v>
      </c>
      <c r="C47" s="18">
        <f>[1]Лист1!$S$140/1.2</f>
        <v>14571.691666666666</v>
      </c>
      <c r="D47" s="18">
        <f>$C$47*D5</f>
        <v>4619.2262583333331</v>
      </c>
      <c r="E47" s="18">
        <f t="shared" ref="E47:M47" si="31">$C$47*E5</f>
        <v>582.86766666666665</v>
      </c>
      <c r="F47" s="18">
        <f t="shared" si="31"/>
        <v>3205.7721666666666</v>
      </c>
      <c r="G47" s="18">
        <f t="shared" si="31"/>
        <v>2404.3291249999997</v>
      </c>
      <c r="H47" s="18">
        <f t="shared" si="31"/>
        <v>2506.3309666666664</v>
      </c>
      <c r="I47" s="18">
        <f t="shared" si="31"/>
        <v>14.571691666666666</v>
      </c>
      <c r="J47" s="18">
        <f t="shared" si="31"/>
        <v>58.286766666666665</v>
      </c>
      <c r="K47" s="18">
        <f t="shared" si="31"/>
        <v>87.430149999999998</v>
      </c>
      <c r="L47" s="18">
        <f t="shared" si="31"/>
        <v>13478.814791666666</v>
      </c>
      <c r="M47" s="18">
        <f t="shared" si="31"/>
        <v>1092.8768749999999</v>
      </c>
      <c r="N47" s="18">
        <f>M47+L47</f>
        <v>14571.691666666666</v>
      </c>
    </row>
    <row r="48" spans="1:14" x14ac:dyDescent="0.2">
      <c r="A48" s="16"/>
      <c r="B48" s="17" t="s">
        <v>10</v>
      </c>
      <c r="C48" s="19">
        <f>[1]Лист1!$T$140/1.2</f>
        <v>14167.316666666666</v>
      </c>
      <c r="D48" s="18">
        <f>$C$48*D5</f>
        <v>4491.0393833333328</v>
      </c>
      <c r="E48" s="18">
        <f t="shared" ref="E48:M48" si="32">$C$48*E5</f>
        <v>566.6926666666667</v>
      </c>
      <c r="F48" s="18">
        <f t="shared" si="32"/>
        <v>3116.8096666666665</v>
      </c>
      <c r="G48" s="18">
        <f t="shared" si="32"/>
        <v>2337.60725</v>
      </c>
      <c r="H48" s="18">
        <f t="shared" si="32"/>
        <v>2436.7784666666662</v>
      </c>
      <c r="I48" s="18">
        <f t="shared" si="32"/>
        <v>14.167316666666666</v>
      </c>
      <c r="J48" s="18">
        <f t="shared" si="32"/>
        <v>56.669266666666665</v>
      </c>
      <c r="K48" s="18">
        <f t="shared" si="32"/>
        <v>85.003900000000002</v>
      </c>
      <c r="L48" s="18">
        <f t="shared" si="32"/>
        <v>13104.767916666666</v>
      </c>
      <c r="M48" s="18">
        <f t="shared" si="32"/>
        <v>1062.5487499999999</v>
      </c>
      <c r="N48" s="18"/>
    </row>
    <row r="49" spans="1:14" x14ac:dyDescent="0.2">
      <c r="A49" s="16"/>
      <c r="B49" s="17" t="s">
        <v>8</v>
      </c>
      <c r="C49" s="19">
        <f>L49+M49</f>
        <v>12831.951799999999</v>
      </c>
      <c r="D49" s="18">
        <f>розрахунок!L36</f>
        <v>6465.8009000000002</v>
      </c>
      <c r="E49" s="18">
        <f>розрахунок!L42</f>
        <v>0</v>
      </c>
      <c r="F49" s="18">
        <f>розрахунок!L44</f>
        <v>0</v>
      </c>
      <c r="G49" s="18">
        <f>розрахунок!L46</f>
        <v>0</v>
      </c>
      <c r="H49" s="18">
        <f>розрахунок!L60</f>
        <v>5034.1508999999996</v>
      </c>
      <c r="I49" s="25">
        <f>розрахунок!L65</f>
        <v>0</v>
      </c>
      <c r="J49" s="18">
        <f>розрахунок!L69</f>
        <v>0</v>
      </c>
      <c r="K49" s="18">
        <f>розрахунок!L73</f>
        <v>0</v>
      </c>
      <c r="L49" s="20">
        <f>K49+J49+I49+H49+G49+F49+E49+D49</f>
        <v>11499.951799999999</v>
      </c>
      <c r="M49" s="21">
        <f>розрахунок!L76</f>
        <v>1332</v>
      </c>
      <c r="N49" s="22">
        <f>M49+L49</f>
        <v>12831.951799999999</v>
      </c>
    </row>
    <row r="50" spans="1:14" x14ac:dyDescent="0.2">
      <c r="A50" s="16"/>
      <c r="B50" s="17" t="s">
        <v>9</v>
      </c>
      <c r="C50" s="19">
        <f>C48-C49</f>
        <v>1335.3648666666668</v>
      </c>
      <c r="D50" s="18">
        <f>D48-D49</f>
        <v>-1974.7615166666674</v>
      </c>
      <c r="E50" s="18">
        <f t="shared" ref="E50:M50" si="33">E48-E49</f>
        <v>566.6926666666667</v>
      </c>
      <c r="F50" s="18">
        <f t="shared" si="33"/>
        <v>3116.8096666666665</v>
      </c>
      <c r="G50" s="18">
        <f t="shared" si="33"/>
        <v>2337.60725</v>
      </c>
      <c r="H50" s="18">
        <f t="shared" si="33"/>
        <v>-2597.3724333333334</v>
      </c>
      <c r="I50" s="25">
        <f t="shared" si="33"/>
        <v>14.167316666666666</v>
      </c>
      <c r="J50" s="18">
        <f t="shared" si="33"/>
        <v>56.669266666666665</v>
      </c>
      <c r="K50" s="18">
        <f t="shared" si="33"/>
        <v>85.003900000000002</v>
      </c>
      <c r="L50" s="18">
        <f t="shared" si="33"/>
        <v>1604.8161166666669</v>
      </c>
      <c r="M50" s="18">
        <f t="shared" si="33"/>
        <v>-269.45125000000007</v>
      </c>
      <c r="N50" s="102">
        <f>N49/'2025'!C15</f>
        <v>4.0859582232128639</v>
      </c>
    </row>
    <row r="51" spans="1:14" x14ac:dyDescent="0.2">
      <c r="A51" s="104" t="s">
        <v>33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6"/>
    </row>
    <row r="52" spans="1:14" x14ac:dyDescent="0.2">
      <c r="A52" s="16"/>
      <c r="B52" s="17" t="s">
        <v>7</v>
      </c>
      <c r="C52" s="18">
        <f>[1]Лист1!$U$140/1.2</f>
        <v>14571.7</v>
      </c>
      <c r="D52" s="18">
        <f>$C$52*D5</f>
        <v>4619.2289000000001</v>
      </c>
      <c r="E52" s="18">
        <f t="shared" ref="E52:M52" si="34">$C$52*E5</f>
        <v>582.86800000000005</v>
      </c>
      <c r="F52" s="18">
        <f t="shared" si="34"/>
        <v>3205.7740000000003</v>
      </c>
      <c r="G52" s="18">
        <f t="shared" si="34"/>
        <v>2404.3305</v>
      </c>
      <c r="H52" s="18">
        <f t="shared" si="34"/>
        <v>2506.3323999999998</v>
      </c>
      <c r="I52" s="18">
        <f t="shared" si="34"/>
        <v>14.571700000000002</v>
      </c>
      <c r="J52" s="18">
        <f t="shared" si="34"/>
        <v>58.286800000000007</v>
      </c>
      <c r="K52" s="18">
        <f t="shared" si="34"/>
        <v>87.430199999999999</v>
      </c>
      <c r="L52" s="18">
        <f t="shared" si="34"/>
        <v>13478.822500000002</v>
      </c>
      <c r="M52" s="18">
        <f t="shared" si="34"/>
        <v>1092.8775000000001</v>
      </c>
      <c r="N52" s="18">
        <f>M52+L52</f>
        <v>14571.700000000003</v>
      </c>
    </row>
    <row r="53" spans="1:14" x14ac:dyDescent="0.2">
      <c r="A53" s="16"/>
      <c r="B53" s="17" t="s">
        <v>10</v>
      </c>
      <c r="C53" s="19">
        <f>[1]Лист1!$V$140/1.2</f>
        <v>15357.533333333335</v>
      </c>
      <c r="D53" s="18">
        <f>$C$53*D5</f>
        <v>4868.3380666666671</v>
      </c>
      <c r="E53" s="18">
        <f t="shared" ref="E53:M53" si="35">$C$53*E5</f>
        <v>614.30133333333345</v>
      </c>
      <c r="F53" s="18">
        <f t="shared" si="35"/>
        <v>3378.6573333333336</v>
      </c>
      <c r="G53" s="18">
        <f t="shared" si="35"/>
        <v>2533.9930000000004</v>
      </c>
      <c r="H53" s="18">
        <f t="shared" si="35"/>
        <v>2641.4957333333332</v>
      </c>
      <c r="I53" s="18">
        <f t="shared" si="35"/>
        <v>15.357533333333334</v>
      </c>
      <c r="J53" s="18">
        <f t="shared" si="35"/>
        <v>61.430133333333337</v>
      </c>
      <c r="K53" s="18">
        <f t="shared" si="35"/>
        <v>92.145200000000017</v>
      </c>
      <c r="L53" s="18">
        <f t="shared" si="35"/>
        <v>14205.718333333336</v>
      </c>
      <c r="M53" s="18">
        <f t="shared" si="35"/>
        <v>1151.8150000000001</v>
      </c>
      <c r="N53" s="18"/>
    </row>
    <row r="54" spans="1:14" x14ac:dyDescent="0.2">
      <c r="A54" s="16"/>
      <c r="B54" s="17" t="s">
        <v>8</v>
      </c>
      <c r="C54" s="19">
        <f>L54+M54</f>
        <v>12827.950699999999</v>
      </c>
      <c r="D54" s="18">
        <f>розрахунок!M36</f>
        <v>6665.9569000000001</v>
      </c>
      <c r="E54" s="18">
        <f>розрахунок!M42</f>
        <v>0</v>
      </c>
      <c r="F54" s="18">
        <f>розрахунок!M44</f>
        <v>0</v>
      </c>
      <c r="G54" s="18">
        <f>розрахунок!M46</f>
        <v>0</v>
      </c>
      <c r="H54" s="18">
        <f>розрахунок!M60</f>
        <v>4585.1938</v>
      </c>
      <c r="I54" s="25">
        <f>розрахунок!M65</f>
        <v>0</v>
      </c>
      <c r="J54" s="18">
        <f>розрахунок!M69</f>
        <v>0</v>
      </c>
      <c r="K54" s="18">
        <f>розрахунок!M73</f>
        <v>0</v>
      </c>
      <c r="L54" s="20">
        <f>K54+J54+I54+H54+G54+F54+E54+D54</f>
        <v>11251.1507</v>
      </c>
      <c r="M54" s="21">
        <f>розрахунок!M76</f>
        <v>1576.8</v>
      </c>
      <c r="N54" s="22">
        <f>M54+L54</f>
        <v>12827.950699999999</v>
      </c>
    </row>
    <row r="55" spans="1:14" x14ac:dyDescent="0.2">
      <c r="A55" s="16"/>
      <c r="B55" s="17" t="s">
        <v>9</v>
      </c>
      <c r="C55" s="19">
        <f>C53-C54</f>
        <v>2529.5826333333353</v>
      </c>
      <c r="D55" s="18">
        <f>D53-D54</f>
        <v>-1797.618833333333</v>
      </c>
      <c r="E55" s="18">
        <f t="shared" ref="E55:M55" si="36">E53-E54</f>
        <v>614.30133333333345</v>
      </c>
      <c r="F55" s="18">
        <f t="shared" si="36"/>
        <v>3378.6573333333336</v>
      </c>
      <c r="G55" s="18">
        <f t="shared" si="36"/>
        <v>2533.9930000000004</v>
      </c>
      <c r="H55" s="18">
        <f t="shared" si="36"/>
        <v>-1943.6980666666668</v>
      </c>
      <c r="I55" s="25">
        <f t="shared" si="36"/>
        <v>15.357533333333334</v>
      </c>
      <c r="J55" s="18">
        <f>J53-J54</f>
        <v>61.430133333333337</v>
      </c>
      <c r="K55" s="18">
        <f t="shared" si="36"/>
        <v>92.145200000000017</v>
      </c>
      <c r="L55" s="18">
        <f t="shared" si="36"/>
        <v>2954.5676333333358</v>
      </c>
      <c r="M55" s="18">
        <f t="shared" si="36"/>
        <v>-424.9849999999999</v>
      </c>
      <c r="N55" s="102">
        <f>N54/'2025'!C15</f>
        <v>4.0846841904155387</v>
      </c>
    </row>
    <row r="56" spans="1:14" x14ac:dyDescent="0.2">
      <c r="A56" s="104" t="s">
        <v>34</v>
      </c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6"/>
    </row>
    <row r="57" spans="1:14" x14ac:dyDescent="0.2">
      <c r="A57" s="16"/>
      <c r="B57" s="17" t="s">
        <v>7</v>
      </c>
      <c r="C57" s="18">
        <f>[1]Лист1!$W$140/1.2</f>
        <v>14571.691666666666</v>
      </c>
      <c r="D57" s="18">
        <f>$C$57*D5</f>
        <v>4619.2262583333331</v>
      </c>
      <c r="E57" s="18">
        <f t="shared" ref="E57:M57" si="37">$C$57*E5</f>
        <v>582.86766666666665</v>
      </c>
      <c r="F57" s="18">
        <f t="shared" si="37"/>
        <v>3205.7721666666666</v>
      </c>
      <c r="G57" s="18">
        <f t="shared" si="37"/>
        <v>2404.3291249999997</v>
      </c>
      <c r="H57" s="18">
        <f t="shared" si="37"/>
        <v>2506.3309666666664</v>
      </c>
      <c r="I57" s="18">
        <f t="shared" si="37"/>
        <v>14.571691666666666</v>
      </c>
      <c r="J57" s="18">
        <f t="shared" si="37"/>
        <v>58.286766666666665</v>
      </c>
      <c r="K57" s="18">
        <f t="shared" si="37"/>
        <v>87.430149999999998</v>
      </c>
      <c r="L57" s="18">
        <f t="shared" si="37"/>
        <v>13478.814791666666</v>
      </c>
      <c r="M57" s="18">
        <f t="shared" si="37"/>
        <v>1092.8768749999999</v>
      </c>
      <c r="N57" s="18">
        <f>M57+L57</f>
        <v>14571.691666666666</v>
      </c>
    </row>
    <row r="58" spans="1:14" x14ac:dyDescent="0.2">
      <c r="A58" s="16"/>
      <c r="B58" s="17" t="s">
        <v>10</v>
      </c>
      <c r="C58" s="19">
        <f>[1]Лист1!$X$140/1.2</f>
        <v>13490.041666666666</v>
      </c>
      <c r="D58" s="18">
        <f>$C$58*D5</f>
        <v>4276.3432083333328</v>
      </c>
      <c r="E58" s="18">
        <f t="shared" ref="E58:M58" si="38">$C$58*E5</f>
        <v>539.60166666666669</v>
      </c>
      <c r="F58" s="18">
        <f t="shared" si="38"/>
        <v>2967.8091666666664</v>
      </c>
      <c r="G58" s="18">
        <f t="shared" si="38"/>
        <v>2225.8568749999999</v>
      </c>
      <c r="H58" s="18">
        <f t="shared" si="38"/>
        <v>2320.2871666666665</v>
      </c>
      <c r="I58" s="18">
        <f t="shared" si="38"/>
        <v>13.490041666666666</v>
      </c>
      <c r="J58" s="18">
        <f t="shared" si="38"/>
        <v>53.960166666666666</v>
      </c>
      <c r="K58" s="18">
        <f t="shared" si="38"/>
        <v>80.940249999999992</v>
      </c>
      <c r="L58" s="18">
        <f t="shared" si="38"/>
        <v>12478.288541666667</v>
      </c>
      <c r="M58" s="18">
        <f t="shared" si="38"/>
        <v>1011.753125</v>
      </c>
      <c r="N58" s="18"/>
    </row>
    <row r="59" spans="1:14" x14ac:dyDescent="0.2">
      <c r="A59" s="16"/>
      <c r="B59" s="17" t="s">
        <v>8</v>
      </c>
      <c r="C59" s="19">
        <f>L59+M59</f>
        <v>11688.094400000002</v>
      </c>
      <c r="D59" s="18">
        <f>розрахунок!N36</f>
        <v>5399.1539000000002</v>
      </c>
      <c r="E59" s="18">
        <f>розрахунок!N42</f>
        <v>0</v>
      </c>
      <c r="F59" s="18">
        <f>розрахунок!N44</f>
        <v>0</v>
      </c>
      <c r="G59" s="18">
        <f>розрахунок!N46</f>
        <v>280</v>
      </c>
      <c r="H59" s="18">
        <f>розрахунок!N60</f>
        <v>5011.7404999999999</v>
      </c>
      <c r="I59" s="25">
        <f>розрахунок!N65</f>
        <v>0</v>
      </c>
      <c r="J59" s="18">
        <f>розрахунок!N69</f>
        <v>0</v>
      </c>
      <c r="K59" s="18">
        <f>розрахунок!N73</f>
        <v>0</v>
      </c>
      <c r="L59" s="20">
        <f>K59+J59+I59+H59+G59+F59+E59+D59</f>
        <v>10690.894400000001</v>
      </c>
      <c r="M59" s="21">
        <f>розрахунок!N76</f>
        <v>997.2</v>
      </c>
      <c r="N59" s="22">
        <f>M59+L59</f>
        <v>11688.094400000002</v>
      </c>
    </row>
    <row r="60" spans="1:14" x14ac:dyDescent="0.2">
      <c r="A60" s="16"/>
      <c r="B60" s="17" t="s">
        <v>9</v>
      </c>
      <c r="C60" s="19">
        <f>C58-C59</f>
        <v>1801.9472666666643</v>
      </c>
      <c r="D60" s="18">
        <f>D58-D59</f>
        <v>-1122.8106916666675</v>
      </c>
      <c r="E60" s="18">
        <f t="shared" ref="E60:M60" si="39">E58-E59</f>
        <v>539.60166666666669</v>
      </c>
      <c r="F60" s="18">
        <f t="shared" si="39"/>
        <v>2967.8091666666664</v>
      </c>
      <c r="G60" s="18">
        <f t="shared" si="39"/>
        <v>1945.8568749999999</v>
      </c>
      <c r="H60" s="18">
        <f t="shared" si="39"/>
        <v>-2691.4533333333334</v>
      </c>
      <c r="I60" s="25">
        <f t="shared" si="39"/>
        <v>13.490041666666666</v>
      </c>
      <c r="J60" s="18">
        <f t="shared" si="39"/>
        <v>53.960166666666666</v>
      </c>
      <c r="K60" s="18">
        <f>K58-K59</f>
        <v>80.940249999999992</v>
      </c>
      <c r="L60" s="18">
        <f t="shared" si="39"/>
        <v>1787.3941416666657</v>
      </c>
      <c r="M60" s="18">
        <f t="shared" si="39"/>
        <v>14.553124999999909</v>
      </c>
      <c r="N60" s="102">
        <f>N59/'2025'!C15</f>
        <v>3.7217304250915464</v>
      </c>
    </row>
    <row r="61" spans="1:14" x14ac:dyDescent="0.2">
      <c r="A61" s="104" t="s">
        <v>35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6"/>
    </row>
    <row r="62" spans="1:14" x14ac:dyDescent="0.2">
      <c r="A62" s="16"/>
      <c r="B62" s="17" t="s">
        <v>7</v>
      </c>
      <c r="C62" s="18">
        <f>[1]Лист1!$Y$140/1.2</f>
        <v>14571.691666666666</v>
      </c>
      <c r="D62" s="18">
        <f>$C$62*D5</f>
        <v>4619.2262583333331</v>
      </c>
      <c r="E62" s="18">
        <f t="shared" ref="E62:M62" si="40">$C$62*E5</f>
        <v>582.86766666666665</v>
      </c>
      <c r="F62" s="18">
        <f t="shared" si="40"/>
        <v>3205.7721666666666</v>
      </c>
      <c r="G62" s="18">
        <f t="shared" si="40"/>
        <v>2404.3291249999997</v>
      </c>
      <c r="H62" s="18">
        <f t="shared" si="40"/>
        <v>2506.3309666666664</v>
      </c>
      <c r="I62" s="18">
        <f t="shared" si="40"/>
        <v>14.571691666666666</v>
      </c>
      <c r="J62" s="18">
        <f t="shared" si="40"/>
        <v>58.286766666666665</v>
      </c>
      <c r="K62" s="18">
        <f t="shared" si="40"/>
        <v>87.430149999999998</v>
      </c>
      <c r="L62" s="18">
        <f t="shared" si="40"/>
        <v>13478.814791666666</v>
      </c>
      <c r="M62" s="18">
        <f t="shared" si="40"/>
        <v>1092.8768749999999</v>
      </c>
      <c r="N62" s="18">
        <f>M62+L62</f>
        <v>14571.691666666666</v>
      </c>
    </row>
    <row r="63" spans="1:14" x14ac:dyDescent="0.2">
      <c r="A63" s="16"/>
      <c r="B63" s="17" t="s">
        <v>10</v>
      </c>
      <c r="C63" s="19">
        <f>[1]Лист1!$Z$140/1.2</f>
        <v>12987.375</v>
      </c>
      <c r="D63" s="18">
        <f>$C$63*D5</f>
        <v>4116.997875</v>
      </c>
      <c r="E63" s="18">
        <f t="shared" ref="E63:M63" si="41">$C$63*E5</f>
        <v>519.495</v>
      </c>
      <c r="F63" s="18">
        <f t="shared" si="41"/>
        <v>2857.2224999999999</v>
      </c>
      <c r="G63" s="18">
        <f t="shared" si="41"/>
        <v>2142.9168749999999</v>
      </c>
      <c r="H63" s="18">
        <f t="shared" si="41"/>
        <v>2233.8284999999996</v>
      </c>
      <c r="I63" s="18">
        <f t="shared" si="41"/>
        <v>12.987375</v>
      </c>
      <c r="J63" s="18">
        <f t="shared" si="41"/>
        <v>51.9495</v>
      </c>
      <c r="K63" s="18">
        <f t="shared" si="41"/>
        <v>77.924250000000001</v>
      </c>
      <c r="L63" s="18">
        <f t="shared" si="41"/>
        <v>12013.321875000001</v>
      </c>
      <c r="M63" s="18">
        <f t="shared" si="41"/>
        <v>974.05312499999991</v>
      </c>
      <c r="N63" s="18"/>
    </row>
    <row r="64" spans="1:14" x14ac:dyDescent="0.2">
      <c r="A64" s="16"/>
      <c r="B64" s="17" t="s">
        <v>8</v>
      </c>
      <c r="C64" s="19">
        <f>L64+M64</f>
        <v>12235.288699999999</v>
      </c>
      <c r="D64" s="18">
        <f>розрахунок!O36</f>
        <v>6152.16</v>
      </c>
      <c r="E64" s="18">
        <f>розрахунок!O42</f>
        <v>0</v>
      </c>
      <c r="F64" s="18">
        <f>розрахунок!O44</f>
        <v>0</v>
      </c>
      <c r="G64" s="18">
        <f>розрахунок!O46</f>
        <v>160.96</v>
      </c>
      <c r="H64" s="18">
        <f>розрахунок!O60</f>
        <v>4626.2766999999994</v>
      </c>
      <c r="I64" s="25">
        <f>розрахунок!O65</f>
        <v>0</v>
      </c>
      <c r="J64" s="18">
        <f>розрахунок!O69</f>
        <v>507.49200000000002</v>
      </c>
      <c r="K64" s="18">
        <f>розрахунок!O73</f>
        <v>0</v>
      </c>
      <c r="L64" s="20">
        <f>K64+J64+I64+H64+G64+F64+E64+D64</f>
        <v>11446.8887</v>
      </c>
      <c r="M64" s="21">
        <f>розрахунок!O76</f>
        <v>788.4</v>
      </c>
      <c r="N64" s="22">
        <f>M64+L64</f>
        <v>12235.288699999999</v>
      </c>
    </row>
    <row r="65" spans="1:15" x14ac:dyDescent="0.2">
      <c r="A65" s="16"/>
      <c r="B65" s="17" t="s">
        <v>9</v>
      </c>
      <c r="C65" s="19">
        <f>C63-C64</f>
        <v>752.08630000000085</v>
      </c>
      <c r="D65" s="18">
        <f>D63-D64</f>
        <v>-2035.1621249999998</v>
      </c>
      <c r="E65" s="18">
        <f t="shared" ref="E65:M65" si="42">E63-E64</f>
        <v>519.495</v>
      </c>
      <c r="F65" s="18">
        <f t="shared" si="42"/>
        <v>2857.2224999999999</v>
      </c>
      <c r="G65" s="18">
        <f t="shared" si="42"/>
        <v>1981.9568749999999</v>
      </c>
      <c r="H65" s="18">
        <f t="shared" si="42"/>
        <v>-2392.4481999999998</v>
      </c>
      <c r="I65" s="25">
        <f t="shared" si="42"/>
        <v>12.987375</v>
      </c>
      <c r="J65" s="18">
        <f t="shared" si="42"/>
        <v>-455.54250000000002</v>
      </c>
      <c r="K65" s="18">
        <f t="shared" si="42"/>
        <v>77.924250000000001</v>
      </c>
      <c r="L65" s="18">
        <f t="shared" si="42"/>
        <v>566.43317500000194</v>
      </c>
      <c r="M65" s="18">
        <f t="shared" si="42"/>
        <v>185.65312499999993</v>
      </c>
      <c r="N65" s="102">
        <f>N64/'2025'!C15</f>
        <v>3.8959683808310777</v>
      </c>
    </row>
    <row r="66" spans="1:15" s="91" customFormat="1" ht="13.5" x14ac:dyDescent="0.25">
      <c r="A66" s="86"/>
      <c r="B66" s="87" t="s">
        <v>11</v>
      </c>
      <c r="C66" s="88">
        <f>C9+C14+C19+C24+C29+C34+C39+C44+C49+C54+C59+C64</f>
        <v>156661.22098301939</v>
      </c>
      <c r="D66" s="88">
        <f t="shared" ref="D66:M66" si="43">D9+D14+D19+D24+D29+D34+D39+D44+D49+D54+D59+D64</f>
        <v>74835.219600000011</v>
      </c>
      <c r="E66" s="88">
        <f t="shared" si="43"/>
        <v>3628.8</v>
      </c>
      <c r="F66" s="88">
        <f t="shared" si="43"/>
        <v>117.73</v>
      </c>
      <c r="G66" s="88">
        <f t="shared" si="43"/>
        <v>6353.9800000000005</v>
      </c>
      <c r="H66" s="88">
        <f t="shared" si="43"/>
        <v>50865.777300000002</v>
      </c>
      <c r="I66" s="89">
        <f t="shared" si="43"/>
        <v>28.386083019395016</v>
      </c>
      <c r="J66" s="88">
        <f t="shared" si="43"/>
        <v>1522.4760000000001</v>
      </c>
      <c r="K66" s="88">
        <f t="shared" si="43"/>
        <v>1330.452</v>
      </c>
      <c r="L66" s="88">
        <f>L9+L14+L19+L24+L29+L34+L39+L44+L49+L54+L59+L64</f>
        <v>138682.8209830194</v>
      </c>
      <c r="M66" s="89">
        <f t="shared" si="43"/>
        <v>17978.399999999998</v>
      </c>
      <c r="N66" s="90"/>
    </row>
    <row r="67" spans="1:15" s="14" customFormat="1" ht="13.5" x14ac:dyDescent="0.25">
      <c r="A67" s="27"/>
      <c r="B67" s="28"/>
      <c r="C67" s="29"/>
      <c r="D67" s="29"/>
      <c r="E67" s="29"/>
      <c r="F67" s="30"/>
      <c r="G67" s="29"/>
      <c r="H67" s="30"/>
      <c r="I67" s="31"/>
      <c r="J67" s="30"/>
      <c r="K67" s="30"/>
      <c r="L67" s="29"/>
      <c r="M67" s="32"/>
      <c r="N67" s="33"/>
    </row>
    <row r="68" spans="1:15" x14ac:dyDescent="0.2">
      <c r="A68" s="16"/>
      <c r="B68" s="17" t="s">
        <v>7</v>
      </c>
      <c r="C68" s="18">
        <f>C62+C57+C52+C47+C42+C37+C32+C27+C22+C17+C12+C7</f>
        <v>174860.29166666663</v>
      </c>
      <c r="D68" s="18">
        <f>$C$68*D5</f>
        <v>55430.712458333321</v>
      </c>
      <c r="E68" s="18">
        <f t="shared" ref="E68:M68" si="44">$C$68*E5</f>
        <v>6994.411666666665</v>
      </c>
      <c r="F68" s="18">
        <f t="shared" si="44"/>
        <v>38469.26416666666</v>
      </c>
      <c r="G68" s="18">
        <f t="shared" si="44"/>
        <v>28851.948124999995</v>
      </c>
      <c r="H68" s="18">
        <f t="shared" si="44"/>
        <v>30075.970166666659</v>
      </c>
      <c r="I68" s="18">
        <f t="shared" si="44"/>
        <v>174.86029166666663</v>
      </c>
      <c r="J68" s="18">
        <f t="shared" si="44"/>
        <v>699.4411666666665</v>
      </c>
      <c r="K68" s="18">
        <f t="shared" si="44"/>
        <v>1049.1617499999998</v>
      </c>
      <c r="L68" s="18">
        <f t="shared" si="44"/>
        <v>161745.76979166665</v>
      </c>
      <c r="M68" s="18">
        <f t="shared" si="44"/>
        <v>13114.521874999997</v>
      </c>
      <c r="N68" s="18">
        <f>M68+L68</f>
        <v>174860.29166666666</v>
      </c>
    </row>
    <row r="69" spans="1:15" x14ac:dyDescent="0.2">
      <c r="A69" s="16"/>
      <c r="B69" s="17" t="s">
        <v>10</v>
      </c>
      <c r="C69" s="19">
        <f>C63+C58+C53+C48+C43+C38+C33+C28+C23+C18+C13+C8</f>
        <v>163393.60000000001</v>
      </c>
      <c r="D69" s="18">
        <f>$C$69*D5</f>
        <v>51795.771200000003</v>
      </c>
      <c r="E69" s="18">
        <f t="shared" ref="E69:M69" si="45">$C$69*E5</f>
        <v>6535.7440000000006</v>
      </c>
      <c r="F69" s="18">
        <f t="shared" si="45"/>
        <v>35946.592000000004</v>
      </c>
      <c r="G69" s="18">
        <f t="shared" si="45"/>
        <v>26959.944000000003</v>
      </c>
      <c r="H69" s="18">
        <f t="shared" si="45"/>
        <v>28103.699199999999</v>
      </c>
      <c r="I69" s="18">
        <f t="shared" si="45"/>
        <v>163.39360000000002</v>
      </c>
      <c r="J69" s="18">
        <f t="shared" si="45"/>
        <v>653.57440000000008</v>
      </c>
      <c r="K69" s="18">
        <f t="shared" si="45"/>
        <v>980.36160000000007</v>
      </c>
      <c r="L69" s="18">
        <f t="shared" si="45"/>
        <v>151139.08000000002</v>
      </c>
      <c r="M69" s="18">
        <f t="shared" si="45"/>
        <v>12254.52</v>
      </c>
      <c r="N69" s="18"/>
      <c r="O69" s="1" t="s">
        <v>136</v>
      </c>
    </row>
    <row r="70" spans="1:15" x14ac:dyDescent="0.2">
      <c r="A70" s="16"/>
      <c r="B70" s="17" t="s">
        <v>8</v>
      </c>
      <c r="C70" s="85">
        <f>C64+C59+C54+C49+C39+C34+C29+C24+C19+C14+C9+C44</f>
        <v>156661.22098301939</v>
      </c>
      <c r="D70" s="18">
        <f>D64+D59+D54+D49+D44+D39+D34+D29+D24+D19+D14+D9</f>
        <v>74835.219600000011</v>
      </c>
      <c r="E70" s="18">
        <f t="shared" ref="E70:K70" si="46">E64+E59+E54+E49+E44+E39+E34+E29+E24+E19+E14+E9</f>
        <v>3628.8</v>
      </c>
      <c r="F70" s="18">
        <f t="shared" si="46"/>
        <v>117.73</v>
      </c>
      <c r="G70" s="18">
        <f t="shared" si="46"/>
        <v>6353.9800000000005</v>
      </c>
      <c r="H70" s="18">
        <f t="shared" si="46"/>
        <v>50865.777300000002</v>
      </c>
      <c r="I70" s="18">
        <f t="shared" si="46"/>
        <v>28.386083019395016</v>
      </c>
      <c r="J70" s="18">
        <f t="shared" si="46"/>
        <v>1522.4760000000001</v>
      </c>
      <c r="K70" s="18">
        <f t="shared" si="46"/>
        <v>1330.452</v>
      </c>
      <c r="L70" s="18">
        <f>K70+J70+I70+H70+G70+F70+E70+D70</f>
        <v>138682.82098301942</v>
      </c>
      <c r="M70" s="18">
        <f>M64+M59+M54+M49+M44+M39+M34+M29+M24+M19+M14+M9</f>
        <v>17978.399999999998</v>
      </c>
      <c r="N70" s="22">
        <f>M70+L70</f>
        <v>156661.22098301942</v>
      </c>
      <c r="O70" s="4">
        <v>12</v>
      </c>
    </row>
    <row r="71" spans="1:15" x14ac:dyDescent="0.2">
      <c r="A71" s="16"/>
      <c r="B71" s="17" t="s">
        <v>9</v>
      </c>
      <c r="C71" s="19">
        <f>C69-C70</f>
        <v>6732.3790169806161</v>
      </c>
      <c r="D71" s="18">
        <f>D69-D70</f>
        <v>-23039.448400000008</v>
      </c>
      <c r="E71" s="18">
        <f t="shared" ref="E71:M71" si="47">E69-E70</f>
        <v>2906.9440000000004</v>
      </c>
      <c r="F71" s="18">
        <f t="shared" si="47"/>
        <v>35828.862000000001</v>
      </c>
      <c r="G71" s="18">
        <f t="shared" si="47"/>
        <v>20605.964000000004</v>
      </c>
      <c r="H71" s="18">
        <f t="shared" si="47"/>
        <v>-22762.078100000002</v>
      </c>
      <c r="I71" s="25">
        <f t="shared" si="47"/>
        <v>135.007516980605</v>
      </c>
      <c r="J71" s="18">
        <f t="shared" si="47"/>
        <v>-868.90160000000003</v>
      </c>
      <c r="K71" s="18">
        <f t="shared" si="47"/>
        <v>-350.09039999999993</v>
      </c>
      <c r="L71" s="18">
        <f t="shared" si="47"/>
        <v>12456.259016980592</v>
      </c>
      <c r="M71" s="18">
        <f t="shared" si="47"/>
        <v>-5723.8799999999974</v>
      </c>
      <c r="N71" s="102">
        <f>N70/'2025'!C15/12</f>
        <v>4.1570137712418251</v>
      </c>
      <c r="O71" s="4"/>
    </row>
    <row r="72" spans="1:15" x14ac:dyDescent="0.2">
      <c r="B72" s="35"/>
      <c r="D72" s="24"/>
      <c r="E72" s="24"/>
      <c r="I72" s="39"/>
      <c r="M72" s="34" t="s">
        <v>27</v>
      </c>
      <c r="N72" s="26">
        <f>(N65+N60+N55+N50+N45+N40+N35+N30+N25+N20+N15+N10)/O70</f>
        <v>4.1570137712418243</v>
      </c>
    </row>
    <row r="73" spans="1:15" x14ac:dyDescent="0.2">
      <c r="B73" s="35"/>
      <c r="D73" s="24"/>
      <c r="E73" s="24"/>
      <c r="I73" s="39"/>
      <c r="M73" s="34" t="s">
        <v>28</v>
      </c>
      <c r="N73" s="103">
        <f>N72*1.2</f>
        <v>4.9884165254901891</v>
      </c>
    </row>
    <row r="74" spans="1:15" x14ac:dyDescent="0.2">
      <c r="B74" s="35"/>
      <c r="N74" s="38"/>
    </row>
    <row r="75" spans="1:15" x14ac:dyDescent="0.2">
      <c r="N75" s="38"/>
    </row>
    <row r="76" spans="1:15" x14ac:dyDescent="0.2">
      <c r="N76" s="38"/>
    </row>
  </sheetData>
  <mergeCells count="17">
    <mergeCell ref="B1:B2"/>
    <mergeCell ref="A1:A2"/>
    <mergeCell ref="N1:N2"/>
    <mergeCell ref="D1:L1"/>
    <mergeCell ref="C1:C2"/>
    <mergeCell ref="A46:N46"/>
    <mergeCell ref="A51:N51"/>
    <mergeCell ref="A56:N56"/>
    <mergeCell ref="A61:N61"/>
    <mergeCell ref="A6:N6"/>
    <mergeCell ref="A11:N11"/>
    <mergeCell ref="A16:N16"/>
    <mergeCell ref="A21:N21"/>
    <mergeCell ref="A36:N36"/>
    <mergeCell ref="A41:N41"/>
    <mergeCell ref="A31:N31"/>
    <mergeCell ref="A26:N26"/>
  </mergeCells>
  <pageMargins left="0.19685039370078741" right="0.19685039370078741" top="0.19685039370078741" bottom="0.19685039370078741" header="0.39370078740157483" footer="0.39370078740157483"/>
  <pageSetup paperSize="9" scale="8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6"/>
  <sheetViews>
    <sheetView topLeftCell="A47" workbookViewId="0">
      <pane xSplit="1" topLeftCell="B1" activePane="topRight" state="frozen"/>
      <selection activeCell="A54" sqref="A54"/>
      <selection pane="topRight" activeCell="E66" sqref="E66"/>
    </sheetView>
  </sheetViews>
  <sheetFormatPr defaultRowHeight="15.75" x14ac:dyDescent="0.25"/>
  <cols>
    <col min="1" max="1" width="45.85546875" style="61" customWidth="1"/>
    <col min="2" max="2" width="13.140625" style="82" bestFit="1" customWidth="1"/>
    <col min="3" max="3" width="6.5703125" style="61" customWidth="1"/>
    <col min="4" max="4" width="11.28515625" style="82" bestFit="1" customWidth="1"/>
    <col min="5" max="7" width="11.85546875" style="82" customWidth="1"/>
    <col min="8" max="8" width="11.28515625" style="82" bestFit="1" customWidth="1"/>
    <col min="9" max="11" width="11.85546875" style="82" customWidth="1"/>
    <col min="12" max="12" width="11.28515625" style="82" bestFit="1" customWidth="1"/>
    <col min="13" max="15" width="11.85546875" style="82" customWidth="1"/>
    <col min="16" max="16384" width="9.140625" style="63"/>
  </cols>
  <sheetData>
    <row r="1" spans="1:15" s="66" customFormat="1" ht="31.5" x14ac:dyDescent="0.25">
      <c r="A1" s="65" t="s">
        <v>45</v>
      </c>
      <c r="B1" s="65" t="s">
        <v>46</v>
      </c>
      <c r="C1" s="65" t="s">
        <v>47</v>
      </c>
      <c r="D1" s="92" t="s">
        <v>124</v>
      </c>
      <c r="E1" s="92" t="s">
        <v>125</v>
      </c>
      <c r="F1" s="92" t="s">
        <v>126</v>
      </c>
      <c r="G1" s="92" t="s">
        <v>127</v>
      </c>
      <c r="H1" s="92" t="s">
        <v>128</v>
      </c>
      <c r="I1" s="92" t="s">
        <v>129</v>
      </c>
      <c r="J1" s="92" t="s">
        <v>130</v>
      </c>
      <c r="K1" s="92" t="s">
        <v>131</v>
      </c>
      <c r="L1" s="92" t="s">
        <v>132</v>
      </c>
      <c r="M1" s="92" t="s">
        <v>133</v>
      </c>
      <c r="N1" s="92" t="s">
        <v>134</v>
      </c>
      <c r="O1" s="92" t="s">
        <v>135</v>
      </c>
    </row>
    <row r="2" spans="1:15" x14ac:dyDescent="0.25">
      <c r="A2" s="67" t="s">
        <v>48</v>
      </c>
      <c r="B2" s="68">
        <f>план!B7</f>
        <v>3136</v>
      </c>
      <c r="C2" s="67" t="s">
        <v>12</v>
      </c>
      <c r="D2" s="68">
        <f>'2025'!C15</f>
        <v>3140.5</v>
      </c>
      <c r="E2" s="68">
        <f>D2</f>
        <v>3140.5</v>
      </c>
      <c r="F2" s="68">
        <f t="shared" ref="F2:O2" si="0">E2</f>
        <v>3140.5</v>
      </c>
      <c r="G2" s="68">
        <f t="shared" si="0"/>
        <v>3140.5</v>
      </c>
      <c r="H2" s="68">
        <f t="shared" si="0"/>
        <v>3140.5</v>
      </c>
      <c r="I2" s="68">
        <f t="shared" si="0"/>
        <v>3140.5</v>
      </c>
      <c r="J2" s="68">
        <f t="shared" si="0"/>
        <v>3140.5</v>
      </c>
      <c r="K2" s="68">
        <f t="shared" si="0"/>
        <v>3140.5</v>
      </c>
      <c r="L2" s="68">
        <f t="shared" si="0"/>
        <v>3140.5</v>
      </c>
      <c r="M2" s="68">
        <f t="shared" si="0"/>
        <v>3140.5</v>
      </c>
      <c r="N2" s="68">
        <f t="shared" si="0"/>
        <v>3140.5</v>
      </c>
      <c r="O2" s="68">
        <f t="shared" si="0"/>
        <v>3140.5</v>
      </c>
    </row>
    <row r="3" spans="1:15" x14ac:dyDescent="0.25">
      <c r="A3" s="69" t="s">
        <v>49</v>
      </c>
      <c r="B3" s="70">
        <f>план!B8</f>
        <v>4</v>
      </c>
      <c r="C3" s="67" t="s">
        <v>13</v>
      </c>
      <c r="D3" s="70">
        <v>4</v>
      </c>
      <c r="E3" s="70">
        <f>D3</f>
        <v>4</v>
      </c>
      <c r="F3" s="70">
        <f t="shared" ref="F3:O3" si="1">E3</f>
        <v>4</v>
      </c>
      <c r="G3" s="70">
        <f t="shared" si="1"/>
        <v>4</v>
      </c>
      <c r="H3" s="70">
        <f t="shared" si="1"/>
        <v>4</v>
      </c>
      <c r="I3" s="70">
        <f t="shared" si="1"/>
        <v>4</v>
      </c>
      <c r="J3" s="70">
        <f t="shared" si="1"/>
        <v>4</v>
      </c>
      <c r="K3" s="70">
        <f t="shared" si="1"/>
        <v>4</v>
      </c>
      <c r="L3" s="70">
        <f t="shared" si="1"/>
        <v>4</v>
      </c>
      <c r="M3" s="70">
        <f t="shared" si="1"/>
        <v>4</v>
      </c>
      <c r="N3" s="70">
        <f t="shared" si="1"/>
        <v>4</v>
      </c>
      <c r="O3" s="70">
        <f t="shared" si="1"/>
        <v>4</v>
      </c>
    </row>
    <row r="4" spans="1:15" x14ac:dyDescent="0.25">
      <c r="A4" s="69" t="s">
        <v>53</v>
      </c>
      <c r="B4" s="70">
        <f>план!B12</f>
        <v>60</v>
      </c>
      <c r="C4" s="67" t="s">
        <v>13</v>
      </c>
      <c r="D4" s="70">
        <f>план!B12</f>
        <v>60</v>
      </c>
      <c r="E4" s="68">
        <f t="shared" ref="E4:O10" si="2">D4</f>
        <v>60</v>
      </c>
      <c r="F4" s="68">
        <f t="shared" si="2"/>
        <v>60</v>
      </c>
      <c r="G4" s="68">
        <f t="shared" si="2"/>
        <v>60</v>
      </c>
      <c r="H4" s="68">
        <f t="shared" si="2"/>
        <v>60</v>
      </c>
      <c r="I4" s="68">
        <f t="shared" si="2"/>
        <v>60</v>
      </c>
      <c r="J4" s="68">
        <f t="shared" si="2"/>
        <v>60</v>
      </c>
      <c r="K4" s="68">
        <f t="shared" si="2"/>
        <v>60</v>
      </c>
      <c r="L4" s="68">
        <f t="shared" si="2"/>
        <v>60</v>
      </c>
      <c r="M4" s="68">
        <f t="shared" si="2"/>
        <v>60</v>
      </c>
      <c r="N4" s="68">
        <f t="shared" si="2"/>
        <v>60</v>
      </c>
      <c r="O4" s="68">
        <f t="shared" si="2"/>
        <v>60</v>
      </c>
    </row>
    <row r="5" spans="1:15" x14ac:dyDescent="0.25">
      <c r="A5" s="69" t="s">
        <v>54</v>
      </c>
      <c r="B5" s="68">
        <f>план!B13</f>
        <v>685.8</v>
      </c>
      <c r="C5" s="67" t="s">
        <v>12</v>
      </c>
      <c r="D5" s="68">
        <f>план!B13</f>
        <v>685.8</v>
      </c>
      <c r="E5" s="68">
        <f t="shared" si="2"/>
        <v>685.8</v>
      </c>
      <c r="F5" s="68">
        <f t="shared" si="2"/>
        <v>685.8</v>
      </c>
      <c r="G5" s="68">
        <f t="shared" si="2"/>
        <v>685.8</v>
      </c>
      <c r="H5" s="68">
        <f t="shared" si="2"/>
        <v>685.8</v>
      </c>
      <c r="I5" s="68">
        <f t="shared" si="2"/>
        <v>685.8</v>
      </c>
      <c r="J5" s="68">
        <f t="shared" si="2"/>
        <v>685.8</v>
      </c>
      <c r="K5" s="68">
        <f t="shared" si="2"/>
        <v>685.8</v>
      </c>
      <c r="L5" s="68">
        <f t="shared" si="2"/>
        <v>685.8</v>
      </c>
      <c r="M5" s="68">
        <f t="shared" si="2"/>
        <v>685.8</v>
      </c>
      <c r="N5" s="68">
        <f t="shared" si="2"/>
        <v>685.8</v>
      </c>
      <c r="O5" s="68">
        <f t="shared" si="2"/>
        <v>685.8</v>
      </c>
    </row>
    <row r="6" spans="1:15" x14ac:dyDescent="0.25">
      <c r="A6" s="69" t="s">
        <v>56</v>
      </c>
      <c r="B6" s="68">
        <f>план!B15</f>
        <v>1080</v>
      </c>
      <c r="C6" s="67" t="s">
        <v>57</v>
      </c>
      <c r="D6" s="68">
        <f>план!B15</f>
        <v>1080</v>
      </c>
      <c r="E6" s="68">
        <f t="shared" si="2"/>
        <v>1080</v>
      </c>
      <c r="F6" s="68">
        <f t="shared" si="2"/>
        <v>1080</v>
      </c>
      <c r="G6" s="68">
        <f t="shared" si="2"/>
        <v>1080</v>
      </c>
      <c r="H6" s="68">
        <f t="shared" si="2"/>
        <v>1080</v>
      </c>
      <c r="I6" s="68">
        <f t="shared" si="2"/>
        <v>1080</v>
      </c>
      <c r="J6" s="68">
        <f t="shared" si="2"/>
        <v>1080</v>
      </c>
      <c r="K6" s="68">
        <f t="shared" si="2"/>
        <v>1080</v>
      </c>
      <c r="L6" s="68">
        <f t="shared" si="2"/>
        <v>1080</v>
      </c>
      <c r="M6" s="68">
        <f t="shared" si="2"/>
        <v>1080</v>
      </c>
      <c r="N6" s="68">
        <f t="shared" si="2"/>
        <v>1080</v>
      </c>
      <c r="O6" s="68">
        <f t="shared" si="2"/>
        <v>1080</v>
      </c>
    </row>
    <row r="7" spans="1:15" x14ac:dyDescent="0.25">
      <c r="A7" s="69" t="s">
        <v>58</v>
      </c>
      <c r="B7" s="68">
        <f>план!B16</f>
        <v>156</v>
      </c>
      <c r="C7" s="67" t="s">
        <v>57</v>
      </c>
      <c r="D7" s="68">
        <f>план!B16</f>
        <v>156</v>
      </c>
      <c r="E7" s="70">
        <f t="shared" si="2"/>
        <v>156</v>
      </c>
      <c r="F7" s="70">
        <f t="shared" si="2"/>
        <v>156</v>
      </c>
      <c r="G7" s="70">
        <f t="shared" si="2"/>
        <v>156</v>
      </c>
      <c r="H7" s="70">
        <f t="shared" si="2"/>
        <v>156</v>
      </c>
      <c r="I7" s="70">
        <f t="shared" si="2"/>
        <v>156</v>
      </c>
      <c r="J7" s="70">
        <f t="shared" si="2"/>
        <v>156</v>
      </c>
      <c r="K7" s="70">
        <f t="shared" si="2"/>
        <v>156</v>
      </c>
      <c r="L7" s="70">
        <f t="shared" si="2"/>
        <v>156</v>
      </c>
      <c r="M7" s="70">
        <f t="shared" si="2"/>
        <v>156</v>
      </c>
      <c r="N7" s="70">
        <f t="shared" si="2"/>
        <v>156</v>
      </c>
      <c r="O7" s="70">
        <f t="shared" si="2"/>
        <v>156</v>
      </c>
    </row>
    <row r="8" spans="1:15" x14ac:dyDescent="0.25">
      <c r="A8" s="69" t="s">
        <v>60</v>
      </c>
      <c r="B8" s="70">
        <f>план!B18</f>
        <v>2</v>
      </c>
      <c r="C8" s="67" t="s">
        <v>13</v>
      </c>
      <c r="D8" s="70">
        <f>план!B18</f>
        <v>2</v>
      </c>
      <c r="E8" s="68">
        <f t="shared" si="2"/>
        <v>2</v>
      </c>
      <c r="F8" s="68">
        <f t="shared" si="2"/>
        <v>2</v>
      </c>
      <c r="G8" s="68">
        <f t="shared" si="2"/>
        <v>2</v>
      </c>
      <c r="H8" s="68">
        <f t="shared" si="2"/>
        <v>2</v>
      </c>
      <c r="I8" s="68">
        <f t="shared" si="2"/>
        <v>2</v>
      </c>
      <c r="J8" s="68">
        <f t="shared" si="2"/>
        <v>2</v>
      </c>
      <c r="K8" s="68">
        <f t="shared" si="2"/>
        <v>2</v>
      </c>
      <c r="L8" s="68">
        <f t="shared" si="2"/>
        <v>2</v>
      </c>
      <c r="M8" s="68">
        <f t="shared" si="2"/>
        <v>2</v>
      </c>
      <c r="N8" s="68">
        <f t="shared" si="2"/>
        <v>2</v>
      </c>
      <c r="O8" s="68">
        <f t="shared" si="2"/>
        <v>2</v>
      </c>
    </row>
    <row r="9" spans="1:15" x14ac:dyDescent="0.25">
      <c r="A9" s="67" t="s">
        <v>64</v>
      </c>
      <c r="B9" s="68">
        <f>план!B22</f>
        <v>1649.4</v>
      </c>
      <c r="C9" s="67" t="s">
        <v>12</v>
      </c>
      <c r="D9" s="68">
        <f>план!B22</f>
        <v>1649.4</v>
      </c>
      <c r="E9" s="70">
        <f t="shared" si="2"/>
        <v>1649.4</v>
      </c>
      <c r="F9" s="70">
        <f t="shared" si="2"/>
        <v>1649.4</v>
      </c>
      <c r="G9" s="70">
        <f t="shared" si="2"/>
        <v>1649.4</v>
      </c>
      <c r="H9" s="70">
        <f t="shared" si="2"/>
        <v>1649.4</v>
      </c>
      <c r="I9" s="70">
        <f t="shared" si="2"/>
        <v>1649.4</v>
      </c>
      <c r="J9" s="70">
        <f t="shared" si="2"/>
        <v>1649.4</v>
      </c>
      <c r="K9" s="70">
        <f t="shared" si="2"/>
        <v>1649.4</v>
      </c>
      <c r="L9" s="70">
        <f t="shared" si="2"/>
        <v>1649.4</v>
      </c>
      <c r="M9" s="70">
        <f t="shared" si="2"/>
        <v>1649.4</v>
      </c>
      <c r="N9" s="70">
        <f t="shared" si="2"/>
        <v>1649.4</v>
      </c>
      <c r="O9" s="70">
        <f t="shared" si="2"/>
        <v>1649.4</v>
      </c>
    </row>
    <row r="10" spans="1:15" x14ac:dyDescent="0.25">
      <c r="A10" s="67" t="s">
        <v>65</v>
      </c>
      <c r="B10" s="68">
        <f>план!B23</f>
        <v>120</v>
      </c>
      <c r="C10" s="67" t="s">
        <v>12</v>
      </c>
      <c r="D10" s="68">
        <f>план!B23</f>
        <v>120</v>
      </c>
      <c r="E10" s="68">
        <f t="shared" si="2"/>
        <v>120</v>
      </c>
      <c r="F10" s="68">
        <f t="shared" si="2"/>
        <v>120</v>
      </c>
      <c r="G10" s="68">
        <f t="shared" si="2"/>
        <v>120</v>
      </c>
      <c r="H10" s="68">
        <f t="shared" si="2"/>
        <v>120</v>
      </c>
      <c r="I10" s="68">
        <f t="shared" si="2"/>
        <v>120</v>
      </c>
      <c r="J10" s="68">
        <f t="shared" si="2"/>
        <v>120</v>
      </c>
      <c r="K10" s="68">
        <f t="shared" si="2"/>
        <v>120</v>
      </c>
      <c r="L10" s="68">
        <f t="shared" si="2"/>
        <v>120</v>
      </c>
      <c r="M10" s="68">
        <f t="shared" si="2"/>
        <v>120</v>
      </c>
      <c r="N10" s="68">
        <f t="shared" si="2"/>
        <v>120</v>
      </c>
      <c r="O10" s="68">
        <f t="shared" si="2"/>
        <v>120</v>
      </c>
    </row>
    <row r="11" spans="1:15" ht="31.5" x14ac:dyDescent="0.25">
      <c r="A11" s="46" t="s">
        <v>66</v>
      </c>
      <c r="B11" s="71">
        <f>ROUND(B38*1.2,4)</f>
        <v>1.7628999999999999</v>
      </c>
      <c r="C11" s="47" t="s">
        <v>67</v>
      </c>
      <c r="D11" s="71">
        <f t="shared" ref="D11:O11" si="3">ROUND(D38*1.2,4)</f>
        <v>2.5678999999999998</v>
      </c>
      <c r="E11" s="71">
        <f t="shared" si="3"/>
        <v>2.5421</v>
      </c>
      <c r="F11" s="71">
        <f t="shared" si="3"/>
        <v>2.4906999999999999</v>
      </c>
      <c r="G11" s="71">
        <f t="shared" si="3"/>
        <v>2.4676999999999998</v>
      </c>
      <c r="H11" s="71">
        <f t="shared" si="3"/>
        <v>2.4064999999999999</v>
      </c>
      <c r="I11" s="71">
        <f t="shared" si="3"/>
        <v>2.0569999999999999</v>
      </c>
      <c r="J11" s="71">
        <f t="shared" si="3"/>
        <v>2.524</v>
      </c>
      <c r="K11" s="71">
        <f t="shared" si="3"/>
        <v>2.1074000000000002</v>
      </c>
      <c r="L11" s="71">
        <f t="shared" si="3"/>
        <v>2.4706000000000001</v>
      </c>
      <c r="M11" s="71">
        <f t="shared" si="3"/>
        <v>2.5470999999999999</v>
      </c>
      <c r="N11" s="71">
        <f t="shared" si="3"/>
        <v>2.0630000000000002</v>
      </c>
      <c r="O11" s="71">
        <f t="shared" si="3"/>
        <v>2.3508</v>
      </c>
    </row>
    <row r="12" spans="1:15" x14ac:dyDescent="0.25">
      <c r="A12" s="67" t="str">
        <f>A4</f>
        <v>кількість квартир</v>
      </c>
      <c r="B12" s="70">
        <f>B4</f>
        <v>60</v>
      </c>
      <c r="C12" s="72" t="s">
        <v>13</v>
      </c>
      <c r="D12" s="70">
        <f t="shared" ref="D12:O12" si="4">D4</f>
        <v>60</v>
      </c>
      <c r="E12" s="70">
        <f t="shared" si="4"/>
        <v>60</v>
      </c>
      <c r="F12" s="70">
        <f t="shared" si="4"/>
        <v>60</v>
      </c>
      <c r="G12" s="70">
        <f t="shared" si="4"/>
        <v>60</v>
      </c>
      <c r="H12" s="70">
        <f t="shared" si="4"/>
        <v>60</v>
      </c>
      <c r="I12" s="70">
        <f t="shared" si="4"/>
        <v>60</v>
      </c>
      <c r="J12" s="70">
        <f t="shared" si="4"/>
        <v>60</v>
      </c>
      <c r="K12" s="70">
        <f t="shared" si="4"/>
        <v>60</v>
      </c>
      <c r="L12" s="70">
        <f t="shared" si="4"/>
        <v>60</v>
      </c>
      <c r="M12" s="70">
        <f t="shared" si="4"/>
        <v>60</v>
      </c>
      <c r="N12" s="70">
        <f t="shared" si="4"/>
        <v>60</v>
      </c>
      <c r="O12" s="70">
        <f t="shared" si="4"/>
        <v>60</v>
      </c>
    </row>
    <row r="13" spans="1:15" x14ac:dyDescent="0.25">
      <c r="A13" s="67" t="str">
        <f>A2</f>
        <v>загальна площа будинку</v>
      </c>
      <c r="B13" s="68">
        <f t="shared" ref="B13:C13" si="5">B2</f>
        <v>3136</v>
      </c>
      <c r="C13" s="67" t="str">
        <f t="shared" si="5"/>
        <v>м2</v>
      </c>
      <c r="D13" s="68">
        <f>D2</f>
        <v>3140.5</v>
      </c>
      <c r="E13" s="68">
        <f>E2</f>
        <v>3140.5</v>
      </c>
      <c r="F13" s="68">
        <f t="shared" ref="F13:I13" si="6">F2</f>
        <v>3140.5</v>
      </c>
      <c r="G13" s="68">
        <f t="shared" si="6"/>
        <v>3140.5</v>
      </c>
      <c r="H13" s="68">
        <f t="shared" si="6"/>
        <v>3140.5</v>
      </c>
      <c r="I13" s="68">
        <f t="shared" si="6"/>
        <v>3140.5</v>
      </c>
      <c r="J13" s="68">
        <f t="shared" ref="J13:M13" si="7">J2</f>
        <v>3140.5</v>
      </c>
      <c r="K13" s="68">
        <f t="shared" si="7"/>
        <v>3140.5</v>
      </c>
      <c r="L13" s="68">
        <f t="shared" si="7"/>
        <v>3140.5</v>
      </c>
      <c r="M13" s="68">
        <f t="shared" si="7"/>
        <v>3140.5</v>
      </c>
      <c r="N13" s="68">
        <f t="shared" ref="N13:O13" si="8">N2</f>
        <v>3140.5</v>
      </c>
      <c r="O13" s="68">
        <f t="shared" si="8"/>
        <v>3140.5</v>
      </c>
    </row>
    <row r="14" spans="1:15" x14ac:dyDescent="0.25">
      <c r="A14" s="67" t="str">
        <f>A7</f>
        <v>протяжність електропроводки</v>
      </c>
      <c r="B14" s="70">
        <f>B7</f>
        <v>156</v>
      </c>
      <c r="C14" s="72" t="s">
        <v>57</v>
      </c>
      <c r="D14" s="70">
        <f t="shared" ref="D14:O14" si="9">D7</f>
        <v>156</v>
      </c>
      <c r="E14" s="70">
        <f t="shared" si="9"/>
        <v>156</v>
      </c>
      <c r="F14" s="70">
        <f t="shared" si="9"/>
        <v>156</v>
      </c>
      <c r="G14" s="70">
        <f t="shared" si="9"/>
        <v>156</v>
      </c>
      <c r="H14" s="70">
        <f t="shared" si="9"/>
        <v>156</v>
      </c>
      <c r="I14" s="70">
        <f t="shared" si="9"/>
        <v>156</v>
      </c>
      <c r="J14" s="70">
        <f t="shared" si="9"/>
        <v>156</v>
      </c>
      <c r="K14" s="70">
        <f t="shared" si="9"/>
        <v>156</v>
      </c>
      <c r="L14" s="70">
        <f t="shared" si="9"/>
        <v>156</v>
      </c>
      <c r="M14" s="70">
        <f t="shared" si="9"/>
        <v>156</v>
      </c>
      <c r="N14" s="70">
        <f t="shared" si="9"/>
        <v>156</v>
      </c>
      <c r="O14" s="70">
        <f t="shared" si="9"/>
        <v>156</v>
      </c>
    </row>
    <row r="15" spans="1:15" x14ac:dyDescent="0.25">
      <c r="A15" s="72" t="s">
        <v>14</v>
      </c>
      <c r="B15" s="70">
        <f>[2]составляющие!$B$13/[2]составляющие!$B$19</f>
        <v>394.33333333333331</v>
      </c>
      <c r="C15" s="72" t="s">
        <v>15</v>
      </c>
      <c r="D15" s="96">
        <f>[1]зарплата!$D$8</f>
        <v>460.05555555555554</v>
      </c>
      <c r="E15" s="96">
        <f>[1]зарплата!$E$8</f>
        <v>460.05555555555554</v>
      </c>
      <c r="F15" s="96">
        <f>[1]зарплата!$F$8</f>
        <v>487.11764705882354</v>
      </c>
      <c r="G15" s="96">
        <f>[1]зарплата!$G$8</f>
        <v>487.11764705882354</v>
      </c>
      <c r="H15" s="96">
        <f>[1]зарплата!$H$8</f>
        <v>460.05555555555554</v>
      </c>
      <c r="I15" s="96">
        <f>[1]зарплата!$I$8</f>
        <v>517.5625</v>
      </c>
      <c r="J15" s="96">
        <f>[1]зарплата!$J$8</f>
        <v>552.06666666666672</v>
      </c>
      <c r="K15" s="96">
        <f>[1]зарплата!$K$8</f>
        <v>552.06666666666672</v>
      </c>
      <c r="L15" s="96">
        <f>[1]зарплата!$L$8</f>
        <v>591.5</v>
      </c>
      <c r="M15" s="96">
        <f>[1]зарплата!$M$8</f>
        <v>552.06666666666672</v>
      </c>
      <c r="N15" s="96">
        <f>[1]зарплата!$N$8</f>
        <v>591.5</v>
      </c>
      <c r="O15" s="96">
        <f>[1]зарплата!$O$8</f>
        <v>690.08333333333337</v>
      </c>
    </row>
    <row r="16" spans="1:15" x14ac:dyDescent="0.25">
      <c r="A16" s="72" t="s">
        <v>68</v>
      </c>
      <c r="B16" s="70">
        <f>[2]составляющие!$B$15/[2]составляющие!$B$20</f>
        <v>105172.50500000008</v>
      </c>
      <c r="C16" s="72" t="s">
        <v>12</v>
      </c>
      <c r="D16" s="96">
        <f>[1]зарплата!$D$9</f>
        <v>140459.86666666667</v>
      </c>
      <c r="E16" s="96">
        <f>[1]зарплата!$E$9</f>
        <v>140459.86666666667</v>
      </c>
      <c r="F16" s="96">
        <f>[1]зарплата!$F$9</f>
        <v>140459.86666666667</v>
      </c>
      <c r="G16" s="96">
        <f>[1]зарплата!$G$9</f>
        <v>140459.86666666667</v>
      </c>
      <c r="H16" s="96">
        <f>[1]зарплата!$H$9</f>
        <v>140459.86666666667</v>
      </c>
      <c r="I16" s="96">
        <f>[1]зарплата!$I$9</f>
        <v>140459.86666666667</v>
      </c>
      <c r="J16" s="96">
        <f>[1]зарплата!$J$9</f>
        <v>140459.86666666667</v>
      </c>
      <c r="K16" s="96">
        <f>[1]зарплата!$K$9</f>
        <v>140459.86666666667</v>
      </c>
      <c r="L16" s="96">
        <f>[1]зарплата!$L$9</f>
        <v>140459.86666666667</v>
      </c>
      <c r="M16" s="96">
        <f>[1]зарплата!$M$9</f>
        <v>140459.86666666667</v>
      </c>
      <c r="N16" s="96">
        <f>[1]зарплата!$N$9</f>
        <v>140459.86666666667</v>
      </c>
      <c r="O16" s="96">
        <f>[1]зарплата!$O$9</f>
        <v>140459.86666666667</v>
      </c>
    </row>
    <row r="17" spans="1:15" x14ac:dyDescent="0.25">
      <c r="A17" s="72" t="s">
        <v>69</v>
      </c>
      <c r="B17" s="70">
        <f>[2]составляющие!$B$16/[2]составляющие!$B$21</f>
        <v>21204</v>
      </c>
      <c r="C17" s="72" t="s">
        <v>57</v>
      </c>
      <c r="D17" s="96">
        <f>[1]зарплата!$D$16</f>
        <v>21204</v>
      </c>
      <c r="E17" s="96">
        <f>[1]зарплата!$D$16</f>
        <v>21204</v>
      </c>
      <c r="F17" s="96">
        <f>[1]зарплата!$F$16</f>
        <v>21204</v>
      </c>
      <c r="G17" s="96">
        <f>[1]зарплата!$G$16</f>
        <v>21204</v>
      </c>
      <c r="H17" s="96">
        <f>[1]зарплата!$H$16</f>
        <v>21204</v>
      </c>
      <c r="I17" s="96">
        <f>[1]зарплата!$I$16</f>
        <v>21204</v>
      </c>
      <c r="J17" s="96">
        <f>[1]зарплата!$J$16</f>
        <v>21204</v>
      </c>
      <c r="K17" s="96">
        <f>[1]зарплата!$K$16</f>
        <v>21204</v>
      </c>
      <c r="L17" s="96">
        <f>[1]зарплата!$L$16</f>
        <v>21204</v>
      </c>
      <c r="M17" s="96">
        <f>[1]зарплата!$M$16</f>
        <v>21204</v>
      </c>
      <c r="N17" s="96">
        <f>[1]зарплата!$N$16</f>
        <v>21204</v>
      </c>
      <c r="O17" s="96">
        <f>[1]зарплата!$O$16</f>
        <v>21204</v>
      </c>
    </row>
    <row r="18" spans="1:15" x14ac:dyDescent="0.25">
      <c r="A18" s="72" t="s">
        <v>70</v>
      </c>
      <c r="B18" s="68">
        <f>[2]составляющие!$B$3</f>
        <v>12789.85</v>
      </c>
      <c r="C18" s="72" t="s">
        <v>71</v>
      </c>
      <c r="D18" s="93">
        <f>[1]зарплата!$D$10</f>
        <v>14085.9</v>
      </c>
      <c r="E18" s="93">
        <f>[1]зарплата!$E$10</f>
        <v>12551.29</v>
      </c>
      <c r="F18" s="93">
        <f>[1]зарплата!$F$10</f>
        <v>14342.95</v>
      </c>
      <c r="G18" s="93">
        <f>[1]зарплата!$G$10</f>
        <v>13657.08</v>
      </c>
      <c r="H18" s="93">
        <f>[1]зарплата!$H$10</f>
        <v>12787.25</v>
      </c>
      <c r="I18" s="93">
        <f>[1]зарплата!$I$10</f>
        <v>13645.32</v>
      </c>
      <c r="J18" s="93">
        <f>[1]зарплата!$J$10</f>
        <v>15998.45</v>
      </c>
      <c r="K18" s="93">
        <f>[1]зарплата!$K$10</f>
        <v>14050.73</v>
      </c>
      <c r="L18" s="93">
        <f>[1]зарплата!$L$10</f>
        <v>16012.29</v>
      </c>
      <c r="M18" s="93">
        <f>[1]зарплата!$M$10</f>
        <v>16432.259999999998</v>
      </c>
      <c r="N18" s="93">
        <f>[1]зарплата!$N$10</f>
        <v>14260.93</v>
      </c>
      <c r="O18" s="93">
        <f>[1]зарплата!$O$10</f>
        <v>17260.93</v>
      </c>
    </row>
    <row r="19" spans="1:15" x14ac:dyDescent="0.25">
      <c r="A19" s="72" t="s">
        <v>72</v>
      </c>
      <c r="B19" s="68">
        <f>[2]составляющие!$B$4</f>
        <v>18350.97</v>
      </c>
      <c r="C19" s="72" t="s">
        <v>71</v>
      </c>
      <c r="D19" s="93">
        <f>[1]зарплата!$D$11</f>
        <v>22865.65</v>
      </c>
      <c r="E19" s="93">
        <f>[1]зарплата!$E$11</f>
        <v>19662.88</v>
      </c>
      <c r="F19" s="93">
        <f>[1]зарплата!$F$11</f>
        <v>20324.45</v>
      </c>
      <c r="G19" s="93">
        <f>[1]зарплата!$G$11</f>
        <v>20342.5</v>
      </c>
      <c r="H19" s="93">
        <f>[1]зарплата!$H$11</f>
        <v>21742.5</v>
      </c>
      <c r="I19" s="93">
        <f>[1]зарплата!$I$11</f>
        <v>20652.689999999999</v>
      </c>
      <c r="J19" s="93">
        <f>[1]зарплата!$J$11</f>
        <v>23054.47</v>
      </c>
      <c r="K19" s="93">
        <f>[1]зарплата!$K$11</f>
        <v>21266.639999999999</v>
      </c>
      <c r="L19" s="93">
        <f>[1]зарплата!$L$11</f>
        <v>21159.8</v>
      </c>
      <c r="M19" s="93">
        <f>[1]зарплата!$M$11</f>
        <v>23087.8</v>
      </c>
      <c r="N19" s="93">
        <f>[1]зарплата!$N$11</f>
        <v>19833.189999999999</v>
      </c>
      <c r="O19" s="93">
        <f>[1]зарплата!$O$11</f>
        <v>21081.63</v>
      </c>
    </row>
    <row r="20" spans="1:15" x14ac:dyDescent="0.25">
      <c r="A20" s="72" t="s">
        <v>73</v>
      </c>
      <c r="B20" s="68">
        <v>11335</v>
      </c>
      <c r="C20" s="72" t="s">
        <v>71</v>
      </c>
      <c r="D20" s="93">
        <f>[1]зарплата!$D$17</f>
        <v>8800</v>
      </c>
      <c r="E20" s="93">
        <f>[1]зарплата!$E$17</f>
        <v>9000</v>
      </c>
      <c r="F20" s="93">
        <f>[1]зарплата!$F$17</f>
        <v>9000</v>
      </c>
      <c r="G20" s="93">
        <f>[1]зарплата!$G$17</f>
        <v>7000</v>
      </c>
      <c r="H20" s="93">
        <f>[1]зарплата!$H$17</f>
        <v>7000</v>
      </c>
      <c r="I20" s="93">
        <f>[1]зарплата!$I$17</f>
        <v>8000</v>
      </c>
      <c r="J20" s="93">
        <f>[1]зарплата!$J$17</f>
        <v>0</v>
      </c>
      <c r="K20" s="93">
        <f>[1]зарплата!$K$17</f>
        <v>0</v>
      </c>
      <c r="L20" s="93">
        <f>[1]зарплата!$L$17</f>
        <v>0</v>
      </c>
      <c r="M20" s="93">
        <f>[1]зарплата!$M$17</f>
        <v>0</v>
      </c>
      <c r="N20" s="93">
        <f>[1]зарплата!$N$17</f>
        <v>0</v>
      </c>
      <c r="O20" s="93">
        <f>[1]зарплата!$O$17</f>
        <v>0</v>
      </c>
    </row>
    <row r="21" spans="1:15" x14ac:dyDescent="0.25">
      <c r="A21" s="72" t="s">
        <v>74</v>
      </c>
      <c r="B21" s="73">
        <v>0.22</v>
      </c>
      <c r="C21" s="72"/>
      <c r="D21" s="73">
        <v>0.22</v>
      </c>
      <c r="E21" s="73">
        <v>0.22</v>
      </c>
      <c r="F21" s="73">
        <v>0.22</v>
      </c>
      <c r="G21" s="73">
        <v>0.22</v>
      </c>
      <c r="H21" s="73">
        <v>0.22</v>
      </c>
      <c r="I21" s="73">
        <v>0.22</v>
      </c>
      <c r="J21" s="73">
        <v>0.22</v>
      </c>
      <c r="K21" s="73">
        <v>0.22</v>
      </c>
      <c r="L21" s="73">
        <v>0.22</v>
      </c>
      <c r="M21" s="73">
        <v>0.22</v>
      </c>
      <c r="N21" s="73">
        <v>0.22</v>
      </c>
      <c r="O21" s="73">
        <v>0.22</v>
      </c>
    </row>
    <row r="22" spans="1:15" x14ac:dyDescent="0.25">
      <c r="A22" s="72" t="s">
        <v>75</v>
      </c>
      <c r="B22" s="73">
        <v>0.5</v>
      </c>
      <c r="C22" s="72"/>
      <c r="D22" s="94">
        <f>'[1]Сиз и ТМЦ'!$F$2</f>
        <v>1.5315000000000001</v>
      </c>
      <c r="E22" s="94">
        <f>'[1]Сиз и ТМЦ'!$F$3</f>
        <v>1.7869999999999999</v>
      </c>
      <c r="F22" s="94">
        <f>'[1]Сиз и ТМЦ'!$F$4</f>
        <v>1.5982000000000001</v>
      </c>
      <c r="G22" s="94">
        <f>'[1]Сиз и ТМЦ'!$F$5</f>
        <v>1.6994</v>
      </c>
      <c r="H22" s="94">
        <f>'[1]Сиз и ТМЦ'!$F$6</f>
        <v>1.6162000000000001</v>
      </c>
      <c r="I22" s="94">
        <f>'[1]Сиз и ТМЦ'!$F$7</f>
        <v>1.3069999999999999</v>
      </c>
      <c r="J22" s="94">
        <f>'[1]Сиз и ТМЦ'!$F$8</f>
        <v>1.6972</v>
      </c>
      <c r="K22" s="94">
        <f>'[1]Сиз и ТМЦ'!$F$9</f>
        <v>1.512</v>
      </c>
      <c r="L22" s="94">
        <f>'[1]Сиз и ТМЦ'!$F$10</f>
        <v>1.7523</v>
      </c>
      <c r="M22" s="94">
        <f>'[1]Сиз и ТМЦ'!$F$11</f>
        <v>1.6559999999999999</v>
      </c>
      <c r="N22" s="94">
        <f>'[1]Сиз и ТМЦ'!$F$12</f>
        <v>1.6124000000000001</v>
      </c>
      <c r="O22" s="94">
        <f>'[1]Сиз и ТМЦ'!$F$13</f>
        <v>1.8755999999999999</v>
      </c>
    </row>
    <row r="23" spans="1:15" x14ac:dyDescent="0.25">
      <c r="A23" s="72" t="s">
        <v>76</v>
      </c>
      <c r="B23" s="74">
        <f>[2]составляющие!$B$6</f>
        <v>831.75</v>
      </c>
      <c r="C23" s="72" t="s">
        <v>71</v>
      </c>
      <c r="D23" s="95">
        <f>'[1]Сиз и ТМЦ'!$C$2</f>
        <v>335.13888888888891</v>
      </c>
      <c r="E23" s="95">
        <f>'[1]Сиз и ТМЦ'!$C$3</f>
        <v>948.79611111111126</v>
      </c>
      <c r="F23" s="95">
        <f>'[1]Сиз и ТМЦ'!$C$4</f>
        <v>481.20294117647057</v>
      </c>
      <c r="G23" s="95">
        <f>'[1]Сиз и ТМЦ'!$C$5</f>
        <v>163.69764705882352</v>
      </c>
      <c r="H23" s="95">
        <f>'[1]Сиз и ТМЦ'!$C$6</f>
        <v>0</v>
      </c>
      <c r="I23" s="95">
        <f>'[1]Сиз и ТМЦ'!$C$7</f>
        <v>92</v>
      </c>
      <c r="J23" s="95">
        <f>'[1]Сиз и ТМЦ'!$C$8</f>
        <v>47</v>
      </c>
      <c r="K23" s="95">
        <f>'[1]Сиз и ТМЦ'!$C$9</f>
        <v>23.333333333333332</v>
      </c>
      <c r="L23" s="95">
        <f>'[1]Сиз и ТМЦ'!$C$10</f>
        <v>2002.2857142857142</v>
      </c>
      <c r="M23" s="95">
        <f>'[1]Сиз и ТМЦ'!$C$11</f>
        <v>0</v>
      </c>
      <c r="N23" s="95">
        <f>'[1]Сиз и ТМЦ'!$C$12</f>
        <v>33.243571428571428</v>
      </c>
      <c r="O23" s="95">
        <f>'[1]Сиз и ТМЦ'!$C$13</f>
        <v>54.916666666666664</v>
      </c>
    </row>
    <row r="24" spans="1:15" x14ac:dyDescent="0.25">
      <c r="A24" s="72" t="s">
        <v>77</v>
      </c>
      <c r="B24" s="74">
        <f>[2]составляющие!$B$7</f>
        <v>1419.71</v>
      </c>
      <c r="C24" s="72" t="s">
        <v>71</v>
      </c>
      <c r="D24" s="95">
        <f>'[1]Сиз и ТМЦ'!$D$2</f>
        <v>1525.8766666666668</v>
      </c>
      <c r="E24" s="95">
        <f>'[1]Сиз и ТМЦ'!$D$3</f>
        <v>3699.67</v>
      </c>
      <c r="F24" s="95">
        <f>'[1]Сиз и ТМЦ'!$D$4</f>
        <v>374.27333333333331</v>
      </c>
      <c r="G24" s="95">
        <f>'[1]Сиз и ТМЦ'!$D$5</f>
        <v>1986.6666666666667</v>
      </c>
      <c r="H24" s="95">
        <f>'[1]Сиз и ТМЦ'!$D$6</f>
        <v>1810.1866666666667</v>
      </c>
      <c r="I24" s="95">
        <f>'[1]Сиз и ТМЦ'!$D$7</f>
        <v>2581.3333333333335</v>
      </c>
      <c r="J24" s="95">
        <f>'[1]Сиз и ТМЦ'!$D$8</f>
        <v>927.16666666666663</v>
      </c>
      <c r="K24" s="95">
        <f>'[1]Сиз и ТМЦ'!$D$9</f>
        <v>1733.3333333333333</v>
      </c>
      <c r="L24" s="95">
        <f>'[1]Сиз и ТМЦ'!$D$10</f>
        <v>1249.8333333333333</v>
      </c>
      <c r="M24" s="95">
        <f>'[1]Сиз и ТМЦ'!$D$11</f>
        <v>1853.24</v>
      </c>
      <c r="N24" s="95">
        <f>'[1]Сиз и ТМЦ'!$D$12</f>
        <v>1858.7266666666667</v>
      </c>
      <c r="O24" s="95">
        <f>'[1]Сиз и ТМЦ'!$D$13</f>
        <v>1885.5</v>
      </c>
    </row>
    <row r="25" spans="1:15" x14ac:dyDescent="0.25">
      <c r="A25" s="72" t="s">
        <v>78</v>
      </c>
      <c r="B25" s="74">
        <f>[2]составляющие!$B$8</f>
        <v>677.5</v>
      </c>
      <c r="C25" s="72" t="s">
        <v>71</v>
      </c>
      <c r="D25" s="95">
        <f>'[1]Сиз и ТМЦ'!$E$2</f>
        <v>0</v>
      </c>
      <c r="E25" s="95">
        <f>'[1]Сиз и ТМЦ'!$E$3</f>
        <v>0</v>
      </c>
      <c r="F25" s="95">
        <f>'[1]Сиз и ТМЦ'!$E$4</f>
        <v>0</v>
      </c>
      <c r="G25" s="95">
        <f>'[1]Сиз и ТМЦ'!$E$5</f>
        <v>0</v>
      </c>
      <c r="H25" s="95">
        <f>'[1]Сиз и ТМЦ'!$E$6</f>
        <v>0</v>
      </c>
      <c r="I25" s="95">
        <f>'[1]Сиз и ТМЦ'!$E$7</f>
        <v>0</v>
      </c>
      <c r="J25" s="95">
        <f>'[1]Сиз и ТМЦ'!$E$8</f>
        <v>0</v>
      </c>
      <c r="K25" s="95">
        <f>'[1]Сиз и ТМЦ'!$E$9</f>
        <v>0</v>
      </c>
      <c r="L25" s="95">
        <f>'[1]Сиз и ТМЦ'!$E$10</f>
        <v>0</v>
      </c>
      <c r="M25" s="95">
        <f>'[1]Сиз и ТМЦ'!$E$11</f>
        <v>0</v>
      </c>
      <c r="N25" s="95">
        <f>'[1]Сиз и ТМЦ'!$E$12</f>
        <v>0</v>
      </c>
      <c r="O25" s="95">
        <f>'[1]Сиз и ТМЦ'!$E$13</f>
        <v>0</v>
      </c>
    </row>
    <row r="26" spans="1:15" x14ac:dyDescent="0.25">
      <c r="A26" s="72" t="s">
        <v>79</v>
      </c>
      <c r="B26" s="74">
        <f>ROUND(B12/B15,4)</f>
        <v>0.1522</v>
      </c>
      <c r="C26" s="72" t="s">
        <v>80</v>
      </c>
      <c r="D26" s="74">
        <f t="shared" ref="D26:O26" si="10">ROUND(D12/D15,4)</f>
        <v>0.13039999999999999</v>
      </c>
      <c r="E26" s="74">
        <f t="shared" si="10"/>
        <v>0.13039999999999999</v>
      </c>
      <c r="F26" s="74">
        <f t="shared" si="10"/>
        <v>0.1232</v>
      </c>
      <c r="G26" s="74">
        <f t="shared" si="10"/>
        <v>0.1232</v>
      </c>
      <c r="H26" s="74">
        <f t="shared" si="10"/>
        <v>0.13039999999999999</v>
      </c>
      <c r="I26" s="74">
        <f t="shared" si="10"/>
        <v>0.1159</v>
      </c>
      <c r="J26" s="74">
        <f t="shared" si="10"/>
        <v>0.1087</v>
      </c>
      <c r="K26" s="74">
        <f t="shared" si="10"/>
        <v>0.1087</v>
      </c>
      <c r="L26" s="74">
        <f t="shared" si="10"/>
        <v>0.1014</v>
      </c>
      <c r="M26" s="74">
        <f t="shared" si="10"/>
        <v>0.1087</v>
      </c>
      <c r="N26" s="74">
        <f t="shared" si="10"/>
        <v>0.1014</v>
      </c>
      <c r="O26" s="74">
        <f t="shared" si="10"/>
        <v>8.6900000000000005E-2</v>
      </c>
    </row>
    <row r="27" spans="1:15" x14ac:dyDescent="0.25">
      <c r="A27" s="72" t="s">
        <v>81</v>
      </c>
      <c r="B27" s="74">
        <f>ROUND(B13/B16,4)</f>
        <v>2.98E-2</v>
      </c>
      <c r="C27" s="72" t="s">
        <v>80</v>
      </c>
      <c r="D27" s="74">
        <f t="shared" ref="D27:O27" si="11">ROUND(D13/D16,4)</f>
        <v>2.24E-2</v>
      </c>
      <c r="E27" s="74">
        <f t="shared" si="11"/>
        <v>2.24E-2</v>
      </c>
      <c r="F27" s="74">
        <f t="shared" si="11"/>
        <v>2.24E-2</v>
      </c>
      <c r="G27" s="74">
        <f t="shared" si="11"/>
        <v>2.24E-2</v>
      </c>
      <c r="H27" s="74">
        <f t="shared" si="11"/>
        <v>2.24E-2</v>
      </c>
      <c r="I27" s="74">
        <f t="shared" si="11"/>
        <v>2.24E-2</v>
      </c>
      <c r="J27" s="74">
        <f t="shared" si="11"/>
        <v>2.24E-2</v>
      </c>
      <c r="K27" s="74">
        <f t="shared" si="11"/>
        <v>2.24E-2</v>
      </c>
      <c r="L27" s="74">
        <f t="shared" si="11"/>
        <v>2.24E-2</v>
      </c>
      <c r="M27" s="74">
        <f t="shared" si="11"/>
        <v>2.24E-2</v>
      </c>
      <c r="N27" s="74">
        <f t="shared" si="11"/>
        <v>2.24E-2</v>
      </c>
      <c r="O27" s="74">
        <f t="shared" si="11"/>
        <v>2.24E-2</v>
      </c>
    </row>
    <row r="28" spans="1:15" x14ac:dyDescent="0.25">
      <c r="A28" s="72" t="s">
        <v>82</v>
      </c>
      <c r="B28" s="74">
        <f>ROUND(B14/B17,4)</f>
        <v>7.4000000000000003E-3</v>
      </c>
      <c r="C28" s="72" t="s">
        <v>80</v>
      </c>
      <c r="D28" s="74">
        <f>ROUND(D14/D17,4)</f>
        <v>7.4000000000000003E-3</v>
      </c>
      <c r="E28" s="74">
        <f t="shared" ref="E28:O28" si="12">ROUND(E14/E17,4)</f>
        <v>7.4000000000000003E-3</v>
      </c>
      <c r="F28" s="74">
        <f t="shared" si="12"/>
        <v>7.4000000000000003E-3</v>
      </c>
      <c r="G28" s="74">
        <f t="shared" si="12"/>
        <v>7.4000000000000003E-3</v>
      </c>
      <c r="H28" s="74">
        <f t="shared" si="12"/>
        <v>7.4000000000000003E-3</v>
      </c>
      <c r="I28" s="74">
        <f t="shared" si="12"/>
        <v>7.4000000000000003E-3</v>
      </c>
      <c r="J28" s="74">
        <f t="shared" si="12"/>
        <v>7.4000000000000003E-3</v>
      </c>
      <c r="K28" s="74">
        <f t="shared" si="12"/>
        <v>7.4000000000000003E-3</v>
      </c>
      <c r="L28" s="74">
        <f t="shared" si="12"/>
        <v>7.4000000000000003E-3</v>
      </c>
      <c r="M28" s="74">
        <f t="shared" si="12"/>
        <v>7.4000000000000003E-3</v>
      </c>
      <c r="N28" s="74">
        <f t="shared" si="12"/>
        <v>7.4000000000000003E-3</v>
      </c>
      <c r="O28" s="74">
        <f t="shared" si="12"/>
        <v>7.4000000000000003E-3</v>
      </c>
    </row>
    <row r="29" spans="1:15" x14ac:dyDescent="0.25">
      <c r="A29" s="72" t="s">
        <v>83</v>
      </c>
      <c r="B29" s="74">
        <f>ROUND(B26*B18,4)</f>
        <v>1946.6152</v>
      </c>
      <c r="C29" s="72" t="s">
        <v>71</v>
      </c>
      <c r="D29" s="74">
        <f t="shared" ref="D29:O29" si="13">ROUND(D26*D18,4)</f>
        <v>1836.8014000000001</v>
      </c>
      <c r="E29" s="74">
        <f t="shared" si="13"/>
        <v>1636.6882000000001</v>
      </c>
      <c r="F29" s="74">
        <f t="shared" si="13"/>
        <v>1767.0514000000001</v>
      </c>
      <c r="G29" s="74">
        <f t="shared" si="13"/>
        <v>1682.5523000000001</v>
      </c>
      <c r="H29" s="74">
        <f t="shared" si="13"/>
        <v>1667.4574</v>
      </c>
      <c r="I29" s="74">
        <f t="shared" si="13"/>
        <v>1581.4926</v>
      </c>
      <c r="J29" s="74">
        <f t="shared" si="13"/>
        <v>1739.0315000000001</v>
      </c>
      <c r="K29" s="74">
        <f t="shared" si="13"/>
        <v>1527.3144</v>
      </c>
      <c r="L29" s="74">
        <f t="shared" si="13"/>
        <v>1623.6461999999999</v>
      </c>
      <c r="M29" s="74">
        <f t="shared" si="13"/>
        <v>1786.1867</v>
      </c>
      <c r="N29" s="74">
        <f t="shared" si="13"/>
        <v>1446.0582999999999</v>
      </c>
      <c r="O29" s="74">
        <f t="shared" si="13"/>
        <v>1499.9748</v>
      </c>
    </row>
    <row r="30" spans="1:15" x14ac:dyDescent="0.25">
      <c r="A30" s="72" t="s">
        <v>84</v>
      </c>
      <c r="B30" s="74">
        <f>ROUND(B19*B27,4)</f>
        <v>546.85889999999995</v>
      </c>
      <c r="C30" s="72" t="s">
        <v>71</v>
      </c>
      <c r="D30" s="74">
        <f t="shared" ref="D30:O30" si="14">ROUND(D19*D27,4)</f>
        <v>512.19060000000002</v>
      </c>
      <c r="E30" s="74">
        <f t="shared" si="14"/>
        <v>440.44850000000002</v>
      </c>
      <c r="F30" s="74">
        <f t="shared" si="14"/>
        <v>455.26769999999999</v>
      </c>
      <c r="G30" s="74">
        <f t="shared" si="14"/>
        <v>455.67200000000003</v>
      </c>
      <c r="H30" s="74">
        <f t="shared" si="14"/>
        <v>487.03199999999998</v>
      </c>
      <c r="I30" s="74">
        <f t="shared" si="14"/>
        <v>462.62029999999999</v>
      </c>
      <c r="J30" s="74">
        <f t="shared" si="14"/>
        <v>516.42010000000005</v>
      </c>
      <c r="K30" s="74">
        <f t="shared" si="14"/>
        <v>476.37270000000001</v>
      </c>
      <c r="L30" s="74">
        <f t="shared" si="14"/>
        <v>473.97949999999997</v>
      </c>
      <c r="M30" s="74">
        <f t="shared" si="14"/>
        <v>517.16669999999999</v>
      </c>
      <c r="N30" s="74">
        <f t="shared" si="14"/>
        <v>444.26350000000002</v>
      </c>
      <c r="O30" s="74">
        <f t="shared" si="14"/>
        <v>472.2285</v>
      </c>
    </row>
    <row r="31" spans="1:15" x14ac:dyDescent="0.25">
      <c r="A31" s="72" t="s">
        <v>85</v>
      </c>
      <c r="B31" s="74">
        <f>ROUND(B20*B28,4)</f>
        <v>83.879000000000005</v>
      </c>
      <c r="C31" s="72" t="s">
        <v>71</v>
      </c>
      <c r="D31" s="74">
        <f t="shared" ref="D31:O31" si="15">ROUND(D20*D28,4)</f>
        <v>65.12</v>
      </c>
      <c r="E31" s="74">
        <f t="shared" si="15"/>
        <v>66.599999999999994</v>
      </c>
      <c r="F31" s="74">
        <f t="shared" si="15"/>
        <v>66.599999999999994</v>
      </c>
      <c r="G31" s="74">
        <f t="shared" si="15"/>
        <v>51.8</v>
      </c>
      <c r="H31" s="74">
        <f t="shared" si="15"/>
        <v>51.8</v>
      </c>
      <c r="I31" s="74">
        <f t="shared" si="15"/>
        <v>59.2</v>
      </c>
      <c r="J31" s="74">
        <f t="shared" si="15"/>
        <v>0</v>
      </c>
      <c r="K31" s="74">
        <f t="shared" si="15"/>
        <v>0</v>
      </c>
      <c r="L31" s="74">
        <f t="shared" si="15"/>
        <v>0</v>
      </c>
      <c r="M31" s="74">
        <f t="shared" si="15"/>
        <v>0</v>
      </c>
      <c r="N31" s="74">
        <f t="shared" si="15"/>
        <v>0</v>
      </c>
      <c r="O31" s="74">
        <f t="shared" si="15"/>
        <v>0</v>
      </c>
    </row>
    <row r="32" spans="1:15" x14ac:dyDescent="0.25">
      <c r="A32" s="72" t="s">
        <v>86</v>
      </c>
      <c r="B32" s="74">
        <f>B29+B30+B31</f>
        <v>2577.3530999999998</v>
      </c>
      <c r="C32" s="72" t="s">
        <v>71</v>
      </c>
      <c r="D32" s="74">
        <f t="shared" ref="D32:O32" si="16">D29+D30+D31</f>
        <v>2414.1120000000001</v>
      </c>
      <c r="E32" s="74">
        <f t="shared" si="16"/>
        <v>2143.7366999999999</v>
      </c>
      <c r="F32" s="74">
        <f t="shared" si="16"/>
        <v>2288.9191000000001</v>
      </c>
      <c r="G32" s="74">
        <f t="shared" si="16"/>
        <v>2190.0243</v>
      </c>
      <c r="H32" s="74">
        <f t="shared" si="16"/>
        <v>2206.2894000000001</v>
      </c>
      <c r="I32" s="74">
        <f t="shared" si="16"/>
        <v>2103.3128999999999</v>
      </c>
      <c r="J32" s="74">
        <f t="shared" si="16"/>
        <v>2255.4516000000003</v>
      </c>
      <c r="K32" s="74">
        <f t="shared" si="16"/>
        <v>2003.6871000000001</v>
      </c>
      <c r="L32" s="74">
        <f t="shared" si="16"/>
        <v>2097.6257000000001</v>
      </c>
      <c r="M32" s="74">
        <f t="shared" si="16"/>
        <v>2303.3534</v>
      </c>
      <c r="N32" s="74">
        <f t="shared" si="16"/>
        <v>1890.3217999999999</v>
      </c>
      <c r="O32" s="74">
        <f t="shared" si="16"/>
        <v>1972.2032999999999</v>
      </c>
    </row>
    <row r="33" spans="1:15" x14ac:dyDescent="0.25">
      <c r="A33" s="72" t="s">
        <v>87</v>
      </c>
      <c r="B33" s="74">
        <f>ROUND(B32*B21,4)</f>
        <v>567.01769999999999</v>
      </c>
      <c r="C33" s="72" t="s">
        <v>71</v>
      </c>
      <c r="D33" s="74">
        <f t="shared" ref="D33:O33" si="17">ROUND(D32*D21,4)</f>
        <v>531.1046</v>
      </c>
      <c r="E33" s="74">
        <f t="shared" si="17"/>
        <v>471.62209999999999</v>
      </c>
      <c r="F33" s="74">
        <f t="shared" si="17"/>
        <v>503.56220000000002</v>
      </c>
      <c r="G33" s="74">
        <f t="shared" si="17"/>
        <v>481.80529999999999</v>
      </c>
      <c r="H33" s="74">
        <f t="shared" si="17"/>
        <v>485.38369999999998</v>
      </c>
      <c r="I33" s="74">
        <f t="shared" si="17"/>
        <v>462.72879999999998</v>
      </c>
      <c r="J33" s="74">
        <f t="shared" si="17"/>
        <v>496.19940000000003</v>
      </c>
      <c r="K33" s="74">
        <f t="shared" si="17"/>
        <v>440.81119999999999</v>
      </c>
      <c r="L33" s="74">
        <f t="shared" si="17"/>
        <v>461.47770000000003</v>
      </c>
      <c r="M33" s="74">
        <f t="shared" si="17"/>
        <v>506.73770000000002</v>
      </c>
      <c r="N33" s="74">
        <f t="shared" si="17"/>
        <v>415.87079999999997</v>
      </c>
      <c r="O33" s="74">
        <f t="shared" si="17"/>
        <v>433.88470000000001</v>
      </c>
    </row>
    <row r="34" spans="1:15" x14ac:dyDescent="0.25">
      <c r="A34" s="72" t="s">
        <v>88</v>
      </c>
      <c r="B34" s="74">
        <f>ROUND(B32*B22,4)</f>
        <v>1288.6766</v>
      </c>
      <c r="C34" s="72" t="s">
        <v>71</v>
      </c>
      <c r="D34" s="74">
        <f t="shared" ref="D34:O34" si="18">ROUND(D32*D22,4)</f>
        <v>3697.2125000000001</v>
      </c>
      <c r="E34" s="74">
        <f t="shared" si="18"/>
        <v>3830.8575000000001</v>
      </c>
      <c r="F34" s="74">
        <f t="shared" si="18"/>
        <v>3658.1505000000002</v>
      </c>
      <c r="G34" s="74">
        <f t="shared" si="18"/>
        <v>3721.7273</v>
      </c>
      <c r="H34" s="74">
        <f t="shared" si="18"/>
        <v>3565.8049000000001</v>
      </c>
      <c r="I34" s="74">
        <f t="shared" si="18"/>
        <v>2749.03</v>
      </c>
      <c r="J34" s="74">
        <f t="shared" si="18"/>
        <v>3827.9524999999999</v>
      </c>
      <c r="K34" s="74">
        <f t="shared" si="18"/>
        <v>3029.5749000000001</v>
      </c>
      <c r="L34" s="74">
        <f t="shared" si="18"/>
        <v>3675.6695</v>
      </c>
      <c r="M34" s="74">
        <f t="shared" si="18"/>
        <v>3814.3532</v>
      </c>
      <c r="N34" s="74">
        <f t="shared" si="18"/>
        <v>3047.9549000000002</v>
      </c>
      <c r="O34" s="74">
        <f t="shared" si="18"/>
        <v>3699.0645</v>
      </c>
    </row>
    <row r="35" spans="1:15" x14ac:dyDescent="0.25">
      <c r="A35" s="72" t="s">
        <v>89</v>
      </c>
      <c r="B35" s="74">
        <f>ROUND(B26*B23+B27*B24+B25*B28,4)</f>
        <v>173.91319999999999</v>
      </c>
      <c r="C35" s="72" t="s">
        <v>71</v>
      </c>
      <c r="D35" s="74">
        <f t="shared" ref="D35:O35" si="19">ROUND(D26*D23+D27*D24+D25*D28,4)</f>
        <v>77.881699999999995</v>
      </c>
      <c r="E35" s="74">
        <f t="shared" si="19"/>
        <v>206.59559999999999</v>
      </c>
      <c r="F35" s="74">
        <f t="shared" si="19"/>
        <v>67.667900000000003</v>
      </c>
      <c r="G35" s="74">
        <f t="shared" si="19"/>
        <v>64.668899999999994</v>
      </c>
      <c r="H35" s="74">
        <f t="shared" si="19"/>
        <v>40.548200000000001</v>
      </c>
      <c r="I35" s="74">
        <f t="shared" si="19"/>
        <v>68.484700000000004</v>
      </c>
      <c r="J35" s="74">
        <f t="shared" si="19"/>
        <v>25.877400000000002</v>
      </c>
      <c r="K35" s="74">
        <f t="shared" si="19"/>
        <v>41.363</v>
      </c>
      <c r="L35" s="74">
        <f t="shared" si="19"/>
        <v>231.02799999999999</v>
      </c>
      <c r="M35" s="74">
        <f t="shared" si="19"/>
        <v>41.512599999999999</v>
      </c>
      <c r="N35" s="74">
        <f t="shared" si="19"/>
        <v>45.006399999999999</v>
      </c>
      <c r="O35" s="74">
        <f t="shared" si="19"/>
        <v>47.0075</v>
      </c>
    </row>
    <row r="36" spans="1:15" s="99" customFormat="1" x14ac:dyDescent="0.25">
      <c r="A36" s="97" t="s">
        <v>90</v>
      </c>
      <c r="B36" s="98">
        <f>B32+B33+B34+B35</f>
        <v>4606.9605999999994</v>
      </c>
      <c r="C36" s="97" t="s">
        <v>71</v>
      </c>
      <c r="D36" s="98">
        <f t="shared" ref="D36:O36" si="20">D32+D33+D34+D35</f>
        <v>6720.3108000000002</v>
      </c>
      <c r="E36" s="98">
        <f t="shared" si="20"/>
        <v>6652.8118999999997</v>
      </c>
      <c r="F36" s="98">
        <f t="shared" si="20"/>
        <v>6518.2997000000005</v>
      </c>
      <c r="G36" s="98">
        <f t="shared" si="20"/>
        <v>6458.2257999999993</v>
      </c>
      <c r="H36" s="98">
        <f t="shared" si="20"/>
        <v>6298.0262000000002</v>
      </c>
      <c r="I36" s="98">
        <f t="shared" si="20"/>
        <v>5383.5564000000004</v>
      </c>
      <c r="J36" s="98">
        <f t="shared" si="20"/>
        <v>6605.4809000000005</v>
      </c>
      <c r="K36" s="98">
        <f t="shared" si="20"/>
        <v>5515.436200000001</v>
      </c>
      <c r="L36" s="98">
        <f t="shared" si="20"/>
        <v>6465.8009000000002</v>
      </c>
      <c r="M36" s="98">
        <f t="shared" si="20"/>
        <v>6665.9569000000001</v>
      </c>
      <c r="N36" s="98">
        <f t="shared" si="20"/>
        <v>5399.1539000000002</v>
      </c>
      <c r="O36" s="98">
        <f t="shared" si="20"/>
        <v>6152.16</v>
      </c>
    </row>
    <row r="37" spans="1:15" x14ac:dyDescent="0.25">
      <c r="A37" s="67" t="str">
        <f>A2</f>
        <v>загальна площа будинку</v>
      </c>
      <c r="B37" s="68">
        <f t="shared" ref="B37:C37" si="21">B2</f>
        <v>3136</v>
      </c>
      <c r="C37" s="67" t="str">
        <f t="shared" si="21"/>
        <v>м2</v>
      </c>
      <c r="D37" s="68">
        <f>D2</f>
        <v>3140.5</v>
      </c>
      <c r="E37" s="68">
        <f>E2</f>
        <v>3140.5</v>
      </c>
      <c r="F37" s="68">
        <f t="shared" ref="F37:I37" si="22">F2</f>
        <v>3140.5</v>
      </c>
      <c r="G37" s="68">
        <f t="shared" si="22"/>
        <v>3140.5</v>
      </c>
      <c r="H37" s="68">
        <f t="shared" si="22"/>
        <v>3140.5</v>
      </c>
      <c r="I37" s="68">
        <f t="shared" si="22"/>
        <v>3140.5</v>
      </c>
      <c r="J37" s="68">
        <f t="shared" ref="J37:M37" si="23">J2</f>
        <v>3140.5</v>
      </c>
      <c r="K37" s="68">
        <f t="shared" si="23"/>
        <v>3140.5</v>
      </c>
      <c r="L37" s="68">
        <f t="shared" si="23"/>
        <v>3140.5</v>
      </c>
      <c r="M37" s="68">
        <f t="shared" si="23"/>
        <v>3140.5</v>
      </c>
      <c r="N37" s="68">
        <f t="shared" ref="N37:O37" si="24">N2</f>
        <v>3140.5</v>
      </c>
      <c r="O37" s="68">
        <f t="shared" si="24"/>
        <v>3140.5</v>
      </c>
    </row>
    <row r="38" spans="1:15" x14ac:dyDescent="0.25">
      <c r="A38" s="72" t="s">
        <v>91</v>
      </c>
      <c r="B38" s="74">
        <f>ROUND(B36/B37,4)</f>
        <v>1.4691000000000001</v>
      </c>
      <c r="C38" s="72" t="s">
        <v>71</v>
      </c>
      <c r="D38" s="74">
        <f t="shared" ref="D38:O38" si="25">ROUND(D36/D37,4)</f>
        <v>2.1398999999999999</v>
      </c>
      <c r="E38" s="74">
        <f t="shared" si="25"/>
        <v>2.1183999999999998</v>
      </c>
      <c r="F38" s="74">
        <f t="shared" si="25"/>
        <v>2.0756000000000001</v>
      </c>
      <c r="G38" s="74">
        <f t="shared" si="25"/>
        <v>2.0564</v>
      </c>
      <c r="H38" s="74">
        <f t="shared" si="25"/>
        <v>2.0053999999999998</v>
      </c>
      <c r="I38" s="74">
        <f t="shared" si="25"/>
        <v>1.7141999999999999</v>
      </c>
      <c r="J38" s="74">
        <f t="shared" si="25"/>
        <v>2.1032999999999999</v>
      </c>
      <c r="K38" s="74">
        <f t="shared" si="25"/>
        <v>1.7562</v>
      </c>
      <c r="L38" s="74">
        <f t="shared" si="25"/>
        <v>2.0588000000000002</v>
      </c>
      <c r="M38" s="74">
        <f t="shared" si="25"/>
        <v>2.1225999999999998</v>
      </c>
      <c r="N38" s="74">
        <f t="shared" si="25"/>
        <v>1.7192000000000001</v>
      </c>
      <c r="O38" s="74">
        <f t="shared" si="25"/>
        <v>1.9590000000000001</v>
      </c>
    </row>
    <row r="39" spans="1:15" ht="31.5" x14ac:dyDescent="0.25">
      <c r="A39" s="46" t="s">
        <v>92</v>
      </c>
      <c r="B39" s="71"/>
      <c r="C39" s="47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</row>
    <row r="40" spans="1:15" x14ac:dyDescent="0.25">
      <c r="A40" s="67" t="str">
        <f t="shared" ref="A40:O40" si="26">A6</f>
        <v>протяжність димових та вентиляційних каналів</v>
      </c>
      <c r="B40" s="68">
        <f t="shared" si="26"/>
        <v>1080</v>
      </c>
      <c r="C40" s="67" t="str">
        <f t="shared" si="26"/>
        <v>м.п.</v>
      </c>
      <c r="D40" s="68">
        <f t="shared" si="26"/>
        <v>1080</v>
      </c>
      <c r="E40" s="68">
        <f t="shared" si="26"/>
        <v>1080</v>
      </c>
      <c r="F40" s="68">
        <f t="shared" si="26"/>
        <v>1080</v>
      </c>
      <c r="G40" s="68">
        <f t="shared" si="26"/>
        <v>1080</v>
      </c>
      <c r="H40" s="68">
        <f t="shared" si="26"/>
        <v>1080</v>
      </c>
      <c r="I40" s="68">
        <f t="shared" si="26"/>
        <v>1080</v>
      </c>
      <c r="J40" s="68">
        <f t="shared" si="26"/>
        <v>1080</v>
      </c>
      <c r="K40" s="68">
        <f t="shared" si="26"/>
        <v>1080</v>
      </c>
      <c r="L40" s="68">
        <f t="shared" si="26"/>
        <v>1080</v>
      </c>
      <c r="M40" s="68">
        <f t="shared" si="26"/>
        <v>1080</v>
      </c>
      <c r="N40" s="68">
        <f t="shared" si="26"/>
        <v>1080</v>
      </c>
      <c r="O40" s="68">
        <f t="shared" si="26"/>
        <v>1080</v>
      </c>
    </row>
    <row r="41" spans="1:15" x14ac:dyDescent="0.25">
      <c r="A41" s="72" t="s">
        <v>93</v>
      </c>
      <c r="B41" s="68">
        <f>[2]составляющие!$B$9</f>
        <v>0.54</v>
      </c>
      <c r="C41" s="72" t="s">
        <v>94</v>
      </c>
      <c r="D41" s="93"/>
      <c r="E41" s="93"/>
      <c r="F41" s="93"/>
      <c r="G41" s="93"/>
      <c r="H41" s="93">
        <v>3.36</v>
      </c>
      <c r="I41" s="93"/>
      <c r="J41" s="93"/>
      <c r="K41" s="93"/>
      <c r="L41" s="93"/>
      <c r="M41" s="93"/>
      <c r="N41" s="93"/>
      <c r="O41" s="93"/>
    </row>
    <row r="42" spans="1:15" s="99" customFormat="1" x14ac:dyDescent="0.25">
      <c r="A42" s="97" t="s">
        <v>95</v>
      </c>
      <c r="B42" s="98">
        <f>ROUND(B41*B40,4)</f>
        <v>583.20000000000005</v>
      </c>
      <c r="C42" s="97" t="s">
        <v>71</v>
      </c>
      <c r="D42" s="98">
        <f t="shared" ref="D42:O42" si="27">ROUND(D41*D40,4)</f>
        <v>0</v>
      </c>
      <c r="E42" s="98">
        <f t="shared" si="27"/>
        <v>0</v>
      </c>
      <c r="F42" s="98">
        <f t="shared" si="27"/>
        <v>0</v>
      </c>
      <c r="G42" s="98">
        <f t="shared" si="27"/>
        <v>0</v>
      </c>
      <c r="H42" s="98">
        <f t="shared" si="27"/>
        <v>3628.8</v>
      </c>
      <c r="I42" s="98">
        <f t="shared" si="27"/>
        <v>0</v>
      </c>
      <c r="J42" s="98">
        <f t="shared" si="27"/>
        <v>0</v>
      </c>
      <c r="K42" s="98">
        <f t="shared" si="27"/>
        <v>0</v>
      </c>
      <c r="L42" s="98">
        <f t="shared" si="27"/>
        <v>0</v>
      </c>
      <c r="M42" s="98">
        <f t="shared" si="27"/>
        <v>0</v>
      </c>
      <c r="N42" s="98">
        <f t="shared" si="27"/>
        <v>0</v>
      </c>
      <c r="O42" s="98">
        <f t="shared" si="27"/>
        <v>0</v>
      </c>
    </row>
    <row r="43" spans="1:15" x14ac:dyDescent="0.25">
      <c r="A43" s="47" t="s">
        <v>96</v>
      </c>
      <c r="B43" s="75"/>
      <c r="C43" s="47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</row>
    <row r="44" spans="1:15" s="99" customFormat="1" x14ac:dyDescent="0.25">
      <c r="A44" s="97" t="s">
        <v>97</v>
      </c>
      <c r="B44" s="100">
        <v>3200</v>
      </c>
      <c r="C44" s="97" t="s">
        <v>71</v>
      </c>
      <c r="D44" s="100">
        <v>117.73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</row>
    <row r="45" spans="1:15" x14ac:dyDescent="0.25">
      <c r="A45" s="47" t="s">
        <v>98</v>
      </c>
      <c r="B45" s="75"/>
      <c r="C45" s="47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</row>
    <row r="46" spans="1:15" s="99" customFormat="1" x14ac:dyDescent="0.25">
      <c r="A46" s="97" t="str">
        <f>A44</f>
        <v>витрати ТМЦ (матеріали)</v>
      </c>
      <c r="B46" s="100">
        <f>[2]матеріали!$F$49</f>
        <v>2392.6266666666666</v>
      </c>
      <c r="C46" s="97" t="s">
        <v>71</v>
      </c>
      <c r="D46" s="100">
        <f>140+277+23.76</f>
        <v>440.76</v>
      </c>
      <c r="E46" s="100"/>
      <c r="F46" s="100"/>
      <c r="G46" s="100"/>
      <c r="H46" s="100"/>
      <c r="I46" s="100"/>
      <c r="J46" s="100">
        <v>5447</v>
      </c>
      <c r="K46" s="100">
        <v>25.26</v>
      </c>
      <c r="L46" s="100"/>
      <c r="M46" s="100"/>
      <c r="N46" s="100">
        <v>280</v>
      </c>
      <c r="O46" s="100">
        <v>160.96</v>
      </c>
    </row>
    <row r="47" spans="1:15" x14ac:dyDescent="0.25">
      <c r="A47" s="46" t="s">
        <v>99</v>
      </c>
      <c r="B47" s="71"/>
      <c r="C47" s="47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</row>
    <row r="48" spans="1:15" x14ac:dyDescent="0.25">
      <c r="A48" s="67" t="str">
        <f>A9</f>
        <v>територія, що прибирається</v>
      </c>
      <c r="B48" s="68">
        <f>B9</f>
        <v>1649.4</v>
      </c>
      <c r="C48" s="72" t="s">
        <v>12</v>
      </c>
      <c r="D48" s="68">
        <f t="shared" ref="D48:O48" si="28">D9</f>
        <v>1649.4</v>
      </c>
      <c r="E48" s="68">
        <f t="shared" si="28"/>
        <v>1649.4</v>
      </c>
      <c r="F48" s="68">
        <f t="shared" si="28"/>
        <v>1649.4</v>
      </c>
      <c r="G48" s="68">
        <f t="shared" si="28"/>
        <v>1649.4</v>
      </c>
      <c r="H48" s="68">
        <f t="shared" si="28"/>
        <v>1649.4</v>
      </c>
      <c r="I48" s="68">
        <f t="shared" si="28"/>
        <v>1649.4</v>
      </c>
      <c r="J48" s="68">
        <f t="shared" si="28"/>
        <v>1649.4</v>
      </c>
      <c r="K48" s="68">
        <f t="shared" si="28"/>
        <v>1649.4</v>
      </c>
      <c r="L48" s="68">
        <f t="shared" si="28"/>
        <v>1649.4</v>
      </c>
      <c r="M48" s="68">
        <f t="shared" si="28"/>
        <v>1649.4</v>
      </c>
      <c r="N48" s="68">
        <f t="shared" si="28"/>
        <v>1649.4</v>
      </c>
      <c r="O48" s="68">
        <f t="shared" si="28"/>
        <v>1649.4</v>
      </c>
    </row>
    <row r="49" spans="1:15" x14ac:dyDescent="0.25">
      <c r="A49" s="72" t="s">
        <v>100</v>
      </c>
      <c r="B49" s="70">
        <f>[2]составляющие!$B$14/[2]составляющие!$B$18</f>
        <v>9139.7278571428578</v>
      </c>
      <c r="C49" s="72" t="s">
        <v>12</v>
      </c>
      <c r="D49" s="96">
        <f>[1]зарплата!$D$2</f>
        <v>9874.33</v>
      </c>
      <c r="E49" s="96">
        <f>[1]зарплата!$E$2</f>
        <v>9508.6140740740739</v>
      </c>
      <c r="F49" s="96">
        <f>[1]зарплата!$F$2</f>
        <v>10269.3032</v>
      </c>
      <c r="G49" s="96">
        <f>[1]зарплата!$G$2</f>
        <v>10269.3032</v>
      </c>
      <c r="H49" s="96">
        <f>[1]зарплата!$H$2</f>
        <v>9874.33</v>
      </c>
      <c r="I49" s="96">
        <f>[1]зарплата!$I$2</f>
        <v>9874.33</v>
      </c>
      <c r="J49" s="96">
        <f>[1]зарплата!$J$2</f>
        <v>10269.3032</v>
      </c>
      <c r="K49" s="96">
        <f>[1]зарплата!$K$2</f>
        <v>10697.190833333332</v>
      </c>
      <c r="L49" s="96">
        <f>[1]зарплата!$L$2</f>
        <v>9874.33</v>
      </c>
      <c r="M49" s="96">
        <f>[1]зарплата!$M$2</f>
        <v>9874.33</v>
      </c>
      <c r="N49" s="96">
        <f>[1]зарплата!$N$2</f>
        <v>10697.190833333332</v>
      </c>
      <c r="O49" s="96">
        <f>[1]зарплата!$O$2</f>
        <v>11162.286086956521</v>
      </c>
    </row>
    <row r="50" spans="1:15" x14ac:dyDescent="0.25">
      <c r="A50" s="72" t="s">
        <v>101</v>
      </c>
      <c r="B50" s="68">
        <f>[2]составляющие!$B$1</f>
        <v>7475.29</v>
      </c>
      <c r="C50" s="72" t="e">
        <f>#REF!</f>
        <v>#REF!</v>
      </c>
      <c r="D50" s="93">
        <f>[1]зарплата!$D$3</f>
        <v>7811.14</v>
      </c>
      <c r="E50" s="93">
        <f>[1]зарплата!$E$3</f>
        <v>8574.94</v>
      </c>
      <c r="F50" s="93">
        <f>[1]зарплата!$F$3</f>
        <v>8615.7800000000007</v>
      </c>
      <c r="G50" s="93">
        <f>[1]зарплата!$G$3</f>
        <v>7080.88</v>
      </c>
      <c r="H50" s="93">
        <f>[1]зарплата!$H$3</f>
        <v>7227.61</v>
      </c>
      <c r="I50" s="93">
        <f>[1]зарплата!$I$3</f>
        <v>7940.73</v>
      </c>
      <c r="J50" s="93">
        <f>[1]зарплата!$J$3</f>
        <v>9885.3799999999992</v>
      </c>
      <c r="K50" s="93">
        <f>[1]зарплата!$K$3</f>
        <v>10640.48</v>
      </c>
      <c r="L50" s="93">
        <f>[1]зарплата!$L$3</f>
        <v>9225.32</v>
      </c>
      <c r="M50" s="93">
        <f>[1]зарплата!$M$3</f>
        <v>9486.5</v>
      </c>
      <c r="N50" s="93">
        <f>[1]зарплата!$N$3</f>
        <v>11441.17</v>
      </c>
      <c r="O50" s="93">
        <f>[1]зарплата!$O$3</f>
        <v>10065.299999999999</v>
      </c>
    </row>
    <row r="51" spans="1:15" x14ac:dyDescent="0.25">
      <c r="A51" s="72" t="s">
        <v>74</v>
      </c>
      <c r="B51" s="73">
        <v>0.22</v>
      </c>
      <c r="C51" s="72"/>
      <c r="D51" s="73">
        <v>0.22</v>
      </c>
      <c r="E51" s="73">
        <v>0.22</v>
      </c>
      <c r="F51" s="73">
        <v>0.22</v>
      </c>
      <c r="G51" s="73">
        <v>0.22</v>
      </c>
      <c r="H51" s="73">
        <v>0.22</v>
      </c>
      <c r="I51" s="73">
        <v>0.22</v>
      </c>
      <c r="J51" s="73">
        <v>0.22</v>
      </c>
      <c r="K51" s="73">
        <v>0.22</v>
      </c>
      <c r="L51" s="73">
        <v>0.22</v>
      </c>
      <c r="M51" s="73">
        <v>0.22</v>
      </c>
      <c r="N51" s="73">
        <v>0.22</v>
      </c>
      <c r="O51" s="73">
        <v>0.22</v>
      </c>
    </row>
    <row r="52" spans="1:15" x14ac:dyDescent="0.25">
      <c r="A52" s="72" t="s">
        <v>75</v>
      </c>
      <c r="B52" s="73">
        <v>0.5</v>
      </c>
      <c r="C52" s="72"/>
      <c r="D52" s="94">
        <f>D22</f>
        <v>1.5315000000000001</v>
      </c>
      <c r="E52" s="94">
        <f t="shared" ref="E52:O52" si="29">E22</f>
        <v>1.7869999999999999</v>
      </c>
      <c r="F52" s="94">
        <f t="shared" si="29"/>
        <v>1.5982000000000001</v>
      </c>
      <c r="G52" s="94">
        <f t="shared" si="29"/>
        <v>1.6994</v>
      </c>
      <c r="H52" s="94">
        <f t="shared" si="29"/>
        <v>1.6162000000000001</v>
      </c>
      <c r="I52" s="94">
        <f t="shared" si="29"/>
        <v>1.3069999999999999</v>
      </c>
      <c r="J52" s="94">
        <f t="shared" si="29"/>
        <v>1.6972</v>
      </c>
      <c r="K52" s="94">
        <f t="shared" si="29"/>
        <v>1.512</v>
      </c>
      <c r="L52" s="94">
        <f t="shared" si="29"/>
        <v>1.7523</v>
      </c>
      <c r="M52" s="94">
        <f t="shared" si="29"/>
        <v>1.6559999999999999</v>
      </c>
      <c r="N52" s="94">
        <f t="shared" si="29"/>
        <v>1.6124000000000001</v>
      </c>
      <c r="O52" s="94">
        <f t="shared" si="29"/>
        <v>1.8755999999999999</v>
      </c>
    </row>
    <row r="53" spans="1:15" x14ac:dyDescent="0.25">
      <c r="A53" s="72" t="s">
        <v>102</v>
      </c>
      <c r="B53" s="74">
        <f>[2]составляющие!$B$2</f>
        <v>1008.99</v>
      </c>
      <c r="C53" s="72" t="s">
        <v>71</v>
      </c>
      <c r="D53" s="95">
        <f>'[1]Сиз и ТМЦ'!$B$2</f>
        <v>85.269230769230774</v>
      </c>
      <c r="E53" s="95">
        <f>'[1]Сиз и ТМЦ'!$B$3</f>
        <v>90.703333333333319</v>
      </c>
      <c r="F53" s="95">
        <f>'[1]Сиз и ТМЦ'!$B$4</f>
        <v>365.78039999999999</v>
      </c>
      <c r="G53" s="95">
        <f>'[1]Сиз и ТМЦ'!$B$5</f>
        <v>285.73599999999999</v>
      </c>
      <c r="H53" s="95">
        <f>'[1]Сиз и ТМЦ'!$B$6</f>
        <v>456.25038461538463</v>
      </c>
      <c r="I53" s="95">
        <f>'[1]Сиз и ТМЦ'!$B$7</f>
        <v>550.5580769230769</v>
      </c>
      <c r="J53" s="95">
        <f>'[1]Сиз и ТМЦ'!$B$8</f>
        <v>472.19120000000004</v>
      </c>
      <c r="K53" s="95">
        <f>'[1]Сиз и ТМЦ'!$B$9</f>
        <v>384.13875000000002</v>
      </c>
      <c r="L53" s="95">
        <f>'[1]Сиз и ТМЦ'!$B$10</f>
        <v>2724.1988461538463</v>
      </c>
      <c r="M53" s="95">
        <f>'[1]Сиз и ТМЦ'!$B$11</f>
        <v>173.07692307692307</v>
      </c>
      <c r="N53" s="95">
        <f>'[1]Сиз и ТМЦ'!$B$12</f>
        <v>95.589999999999989</v>
      </c>
      <c r="O53" s="95">
        <f>'[1]Сиз и ТМЦ'!$B$13</f>
        <v>142.78260869565219</v>
      </c>
    </row>
    <row r="54" spans="1:15" x14ac:dyDescent="0.25">
      <c r="A54" s="72" t="s">
        <v>103</v>
      </c>
      <c r="B54" s="74">
        <f>ROUND(B48/B49,4)</f>
        <v>0.18049999999999999</v>
      </c>
      <c r="C54" s="72" t="s">
        <v>80</v>
      </c>
      <c r="D54" s="74">
        <f t="shared" ref="D54:O54" si="30">ROUND(D48/D49,4)</f>
        <v>0.16700000000000001</v>
      </c>
      <c r="E54" s="74">
        <f t="shared" si="30"/>
        <v>0.17349999999999999</v>
      </c>
      <c r="F54" s="74">
        <f t="shared" si="30"/>
        <v>0.16059999999999999</v>
      </c>
      <c r="G54" s="74">
        <f t="shared" si="30"/>
        <v>0.16059999999999999</v>
      </c>
      <c r="H54" s="74">
        <f t="shared" si="30"/>
        <v>0.16700000000000001</v>
      </c>
      <c r="I54" s="74">
        <f t="shared" si="30"/>
        <v>0.16700000000000001</v>
      </c>
      <c r="J54" s="74">
        <f t="shared" si="30"/>
        <v>0.16059999999999999</v>
      </c>
      <c r="K54" s="74">
        <f t="shared" si="30"/>
        <v>0.1542</v>
      </c>
      <c r="L54" s="74">
        <f t="shared" si="30"/>
        <v>0.16700000000000001</v>
      </c>
      <c r="M54" s="74">
        <f t="shared" si="30"/>
        <v>0.16700000000000001</v>
      </c>
      <c r="N54" s="74">
        <f t="shared" si="30"/>
        <v>0.1542</v>
      </c>
      <c r="O54" s="74">
        <f t="shared" si="30"/>
        <v>0.14779999999999999</v>
      </c>
    </row>
    <row r="55" spans="1:15" x14ac:dyDescent="0.25">
      <c r="A55" s="72" t="s">
        <v>104</v>
      </c>
      <c r="B55" s="74">
        <f>ROUND(B54*B50,4)</f>
        <v>1349.2898</v>
      </c>
      <c r="C55" s="72" t="s">
        <v>71</v>
      </c>
      <c r="D55" s="74">
        <f t="shared" ref="D55:O55" si="31">ROUND(D54*D50,4)</f>
        <v>1304.4603999999999</v>
      </c>
      <c r="E55" s="74">
        <f t="shared" si="31"/>
        <v>1487.7520999999999</v>
      </c>
      <c r="F55" s="74">
        <f t="shared" si="31"/>
        <v>1383.6943000000001</v>
      </c>
      <c r="G55" s="74">
        <f t="shared" si="31"/>
        <v>1137.1893</v>
      </c>
      <c r="H55" s="74">
        <f t="shared" si="31"/>
        <v>1207.0109</v>
      </c>
      <c r="I55" s="74">
        <f t="shared" si="31"/>
        <v>1326.1018999999999</v>
      </c>
      <c r="J55" s="74">
        <f t="shared" si="31"/>
        <v>1587.5920000000001</v>
      </c>
      <c r="K55" s="74">
        <f t="shared" si="31"/>
        <v>1640.7619999999999</v>
      </c>
      <c r="L55" s="74">
        <f t="shared" si="31"/>
        <v>1540.6284000000001</v>
      </c>
      <c r="M55" s="74">
        <f t="shared" si="31"/>
        <v>1584.2455</v>
      </c>
      <c r="N55" s="74">
        <f t="shared" si="31"/>
        <v>1764.2284</v>
      </c>
      <c r="O55" s="74">
        <f t="shared" si="31"/>
        <v>1487.6513</v>
      </c>
    </row>
    <row r="56" spans="1:15" x14ac:dyDescent="0.25">
      <c r="A56" s="72" t="s">
        <v>86</v>
      </c>
      <c r="B56" s="74">
        <f>B55</f>
        <v>1349.2898</v>
      </c>
      <c r="C56" s="72" t="s">
        <v>71</v>
      </c>
      <c r="D56" s="74">
        <f t="shared" ref="D56:O56" si="32">D55</f>
        <v>1304.4603999999999</v>
      </c>
      <c r="E56" s="74">
        <f t="shared" si="32"/>
        <v>1487.7520999999999</v>
      </c>
      <c r="F56" s="74">
        <f t="shared" si="32"/>
        <v>1383.6943000000001</v>
      </c>
      <c r="G56" s="74">
        <f t="shared" si="32"/>
        <v>1137.1893</v>
      </c>
      <c r="H56" s="74">
        <f t="shared" si="32"/>
        <v>1207.0109</v>
      </c>
      <c r="I56" s="74">
        <f t="shared" si="32"/>
        <v>1326.1018999999999</v>
      </c>
      <c r="J56" s="74">
        <f t="shared" si="32"/>
        <v>1587.5920000000001</v>
      </c>
      <c r="K56" s="74">
        <f t="shared" si="32"/>
        <v>1640.7619999999999</v>
      </c>
      <c r="L56" s="74">
        <f t="shared" si="32"/>
        <v>1540.6284000000001</v>
      </c>
      <c r="M56" s="74">
        <f t="shared" si="32"/>
        <v>1584.2455</v>
      </c>
      <c r="N56" s="74">
        <f t="shared" si="32"/>
        <v>1764.2284</v>
      </c>
      <c r="O56" s="74">
        <f t="shared" si="32"/>
        <v>1487.6513</v>
      </c>
    </row>
    <row r="57" spans="1:15" x14ac:dyDescent="0.25">
      <c r="A57" s="72" t="s">
        <v>87</v>
      </c>
      <c r="B57" s="74">
        <f>ROUND(B56*B51,4)</f>
        <v>296.84379999999999</v>
      </c>
      <c r="C57" s="72" t="s">
        <v>71</v>
      </c>
      <c r="D57" s="74">
        <f t="shared" ref="D57:O57" si="33">ROUND(D56*D51,4)</f>
        <v>286.98129999999998</v>
      </c>
      <c r="E57" s="74">
        <f t="shared" si="33"/>
        <v>327.30549999999999</v>
      </c>
      <c r="F57" s="74">
        <f t="shared" si="33"/>
        <v>304.41269999999997</v>
      </c>
      <c r="G57" s="74">
        <f t="shared" si="33"/>
        <v>250.1816</v>
      </c>
      <c r="H57" s="74">
        <f t="shared" si="33"/>
        <v>265.54239999999999</v>
      </c>
      <c r="I57" s="74">
        <f t="shared" si="33"/>
        <v>291.74239999999998</v>
      </c>
      <c r="J57" s="74">
        <f t="shared" si="33"/>
        <v>349.27019999999999</v>
      </c>
      <c r="K57" s="74">
        <f t="shared" si="33"/>
        <v>360.9676</v>
      </c>
      <c r="L57" s="74">
        <f t="shared" si="33"/>
        <v>338.93819999999999</v>
      </c>
      <c r="M57" s="74">
        <f t="shared" si="33"/>
        <v>348.53399999999999</v>
      </c>
      <c r="N57" s="74">
        <f t="shared" si="33"/>
        <v>388.1302</v>
      </c>
      <c r="O57" s="74">
        <f t="shared" si="33"/>
        <v>327.2833</v>
      </c>
    </row>
    <row r="58" spans="1:15" x14ac:dyDescent="0.25">
      <c r="A58" s="72" t="s">
        <v>88</v>
      </c>
      <c r="B58" s="74">
        <f>ROUND(B56*B52,4)</f>
        <v>674.64490000000001</v>
      </c>
      <c r="C58" s="72" t="s">
        <v>71</v>
      </c>
      <c r="D58" s="74">
        <f t="shared" ref="D58:O58" si="34">ROUND(D56*D52,4)</f>
        <v>1997.7810999999999</v>
      </c>
      <c r="E58" s="74">
        <f t="shared" si="34"/>
        <v>2658.6129999999998</v>
      </c>
      <c r="F58" s="74">
        <f t="shared" si="34"/>
        <v>2211.4202</v>
      </c>
      <c r="G58" s="74">
        <f t="shared" si="34"/>
        <v>1932.5395000000001</v>
      </c>
      <c r="H58" s="74">
        <f t="shared" si="34"/>
        <v>1950.771</v>
      </c>
      <c r="I58" s="74">
        <f t="shared" si="34"/>
        <v>1733.2152000000001</v>
      </c>
      <c r="J58" s="74">
        <f t="shared" si="34"/>
        <v>2694.4611</v>
      </c>
      <c r="K58" s="74">
        <f t="shared" si="34"/>
        <v>2480.8321000000001</v>
      </c>
      <c r="L58" s="74">
        <f t="shared" si="34"/>
        <v>2699.6430999999998</v>
      </c>
      <c r="M58" s="74">
        <f t="shared" si="34"/>
        <v>2623.5104999999999</v>
      </c>
      <c r="N58" s="74">
        <f t="shared" si="34"/>
        <v>2844.6419000000001</v>
      </c>
      <c r="O58" s="74">
        <f t="shared" si="34"/>
        <v>2790.2388000000001</v>
      </c>
    </row>
    <row r="59" spans="1:15" x14ac:dyDescent="0.25">
      <c r="A59" s="72" t="s">
        <v>89</v>
      </c>
      <c r="B59" s="74">
        <f>ROUND(B54*B53,4)</f>
        <v>182.12270000000001</v>
      </c>
      <c r="C59" s="72" t="s">
        <v>71</v>
      </c>
      <c r="D59" s="74">
        <f t="shared" ref="D59:O59" si="35">ROUND(D54*D53,4)</f>
        <v>14.24</v>
      </c>
      <c r="E59" s="74">
        <f t="shared" si="35"/>
        <v>15.737</v>
      </c>
      <c r="F59" s="74">
        <f t="shared" si="35"/>
        <v>58.744300000000003</v>
      </c>
      <c r="G59" s="74">
        <f t="shared" si="35"/>
        <v>45.889200000000002</v>
      </c>
      <c r="H59" s="74">
        <f t="shared" si="35"/>
        <v>76.193799999999996</v>
      </c>
      <c r="I59" s="74">
        <f t="shared" si="35"/>
        <v>91.943200000000004</v>
      </c>
      <c r="J59" s="74">
        <f t="shared" si="35"/>
        <v>75.8339</v>
      </c>
      <c r="K59" s="74">
        <f t="shared" si="35"/>
        <v>59.234200000000001</v>
      </c>
      <c r="L59" s="74">
        <f t="shared" si="35"/>
        <v>454.94119999999998</v>
      </c>
      <c r="M59" s="74">
        <f t="shared" si="35"/>
        <v>28.9038</v>
      </c>
      <c r="N59" s="74">
        <f t="shared" si="35"/>
        <v>14.74</v>
      </c>
      <c r="O59" s="74">
        <f t="shared" si="35"/>
        <v>21.103300000000001</v>
      </c>
    </row>
    <row r="60" spans="1:15" s="99" customFormat="1" x14ac:dyDescent="0.25">
      <c r="A60" s="97" t="s">
        <v>90</v>
      </c>
      <c r="B60" s="98">
        <f>SUM(B56:B59)</f>
        <v>2502.9012000000002</v>
      </c>
      <c r="C60" s="97" t="s">
        <v>71</v>
      </c>
      <c r="D60" s="98">
        <f t="shared" ref="D60:O60" si="36">SUM(D56:D59)</f>
        <v>3603.4627999999993</v>
      </c>
      <c r="E60" s="98">
        <f t="shared" si="36"/>
        <v>4489.4075999999995</v>
      </c>
      <c r="F60" s="98">
        <f t="shared" si="36"/>
        <v>3958.2714999999998</v>
      </c>
      <c r="G60" s="98">
        <f t="shared" si="36"/>
        <v>3365.7995999999998</v>
      </c>
      <c r="H60" s="98">
        <f t="shared" si="36"/>
        <v>3499.5181000000002</v>
      </c>
      <c r="I60" s="98">
        <f t="shared" si="36"/>
        <v>3443.0027</v>
      </c>
      <c r="J60" s="98">
        <f t="shared" si="36"/>
        <v>4707.1571999999996</v>
      </c>
      <c r="K60" s="98">
        <f t="shared" si="36"/>
        <v>4541.7959000000001</v>
      </c>
      <c r="L60" s="98">
        <f t="shared" si="36"/>
        <v>5034.1508999999996</v>
      </c>
      <c r="M60" s="98">
        <f t="shared" si="36"/>
        <v>4585.1938</v>
      </c>
      <c r="N60" s="98">
        <f t="shared" si="36"/>
        <v>5011.7404999999999</v>
      </c>
      <c r="O60" s="98">
        <f t="shared" si="36"/>
        <v>4626.2766999999994</v>
      </c>
    </row>
    <row r="61" spans="1:15" ht="47.25" x14ac:dyDescent="0.25">
      <c r="A61" s="46" t="s">
        <v>105</v>
      </c>
      <c r="B61" s="75"/>
      <c r="C61" s="47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</row>
    <row r="62" spans="1:15" x14ac:dyDescent="0.25">
      <c r="A62" s="72" t="s">
        <v>106</v>
      </c>
      <c r="B62" s="74">
        <v>0.03</v>
      </c>
      <c r="C62" s="72" t="s">
        <v>17</v>
      </c>
      <c r="D62" s="74">
        <v>0.03</v>
      </c>
      <c r="E62" s="74">
        <v>0.03</v>
      </c>
      <c r="F62" s="74">
        <v>0.03</v>
      </c>
      <c r="G62" s="74">
        <v>0.03</v>
      </c>
      <c r="H62" s="74">
        <v>0.03</v>
      </c>
      <c r="I62" s="74">
        <v>0.03</v>
      </c>
      <c r="J62" s="74">
        <v>0.03</v>
      </c>
      <c r="K62" s="74">
        <v>0.03</v>
      </c>
      <c r="L62" s="74">
        <v>0.03</v>
      </c>
      <c r="M62" s="74">
        <v>0.03</v>
      </c>
      <c r="N62" s="74">
        <v>0.03</v>
      </c>
      <c r="O62" s="74">
        <v>0.03</v>
      </c>
    </row>
    <row r="63" spans="1:15" x14ac:dyDescent="0.25">
      <c r="A63" s="72" t="s">
        <v>107</v>
      </c>
      <c r="B63" s="68">
        <f>[2]составляющие!$B$12</f>
        <v>188.71</v>
      </c>
      <c r="C63" s="72" t="s">
        <v>18</v>
      </c>
      <c r="D63" s="93"/>
      <c r="E63" s="93">
        <f>'[1]Сиз и ТМЦ'!$C$15</f>
        <v>9.0387145420777002E-3</v>
      </c>
      <c r="F63" s="93"/>
      <c r="G63" s="93"/>
      <c r="H63" s="93"/>
      <c r="I63" s="93"/>
      <c r="J63" s="93"/>
      <c r="K63" s="93"/>
      <c r="L63" s="93"/>
      <c r="M63" s="93"/>
      <c r="N63" s="93"/>
      <c r="O63" s="93"/>
    </row>
    <row r="64" spans="1:15" x14ac:dyDescent="0.25">
      <c r="A64" s="67" t="str">
        <f>A10</f>
        <v>площа, яка підлягає посипанню</v>
      </c>
      <c r="B64" s="70">
        <f t="shared" ref="B64:C64" si="37">B10</f>
        <v>120</v>
      </c>
      <c r="C64" s="67" t="str">
        <f t="shared" si="37"/>
        <v>м2</v>
      </c>
      <c r="D64" s="70">
        <f>D10</f>
        <v>120</v>
      </c>
      <c r="E64" s="70">
        <f>E10</f>
        <v>120</v>
      </c>
      <c r="F64" s="70">
        <f t="shared" ref="F64:I64" si="38">F10</f>
        <v>120</v>
      </c>
      <c r="G64" s="70">
        <f t="shared" si="38"/>
        <v>120</v>
      </c>
      <c r="H64" s="70">
        <f t="shared" si="38"/>
        <v>120</v>
      </c>
      <c r="I64" s="70">
        <f t="shared" si="38"/>
        <v>120</v>
      </c>
      <c r="J64" s="70">
        <f t="shared" ref="J64:M64" si="39">J10</f>
        <v>120</v>
      </c>
      <c r="K64" s="70">
        <f t="shared" si="39"/>
        <v>120</v>
      </c>
      <c r="L64" s="70">
        <f t="shared" si="39"/>
        <v>120</v>
      </c>
      <c r="M64" s="70">
        <f t="shared" si="39"/>
        <v>120</v>
      </c>
      <c r="N64" s="70">
        <f t="shared" ref="N64:O64" si="40">N10</f>
        <v>120</v>
      </c>
      <c r="O64" s="70">
        <f t="shared" si="40"/>
        <v>120</v>
      </c>
    </row>
    <row r="65" spans="1:15" x14ac:dyDescent="0.25">
      <c r="A65" s="97" t="s">
        <v>90</v>
      </c>
      <c r="B65" s="98"/>
      <c r="C65" s="97"/>
      <c r="D65" s="98">
        <f>ROUND((D62*D63)/100*D64,4)</f>
        <v>0</v>
      </c>
      <c r="E65" s="98">
        <f>E63*'2025'!C15</f>
        <v>28.386083019395016</v>
      </c>
      <c r="F65" s="98">
        <f t="shared" ref="F65:O65" si="41">ROUND((F62*F63)/100*F64,4)</f>
        <v>0</v>
      </c>
      <c r="G65" s="98">
        <f t="shared" si="41"/>
        <v>0</v>
      </c>
      <c r="H65" s="98">
        <f t="shared" si="41"/>
        <v>0</v>
      </c>
      <c r="I65" s="98">
        <f t="shared" si="41"/>
        <v>0</v>
      </c>
      <c r="J65" s="98">
        <f t="shared" si="41"/>
        <v>0</v>
      </c>
      <c r="K65" s="98">
        <f t="shared" si="41"/>
        <v>0</v>
      </c>
      <c r="L65" s="98">
        <f t="shared" si="41"/>
        <v>0</v>
      </c>
      <c r="M65" s="98">
        <f t="shared" si="41"/>
        <v>0</v>
      </c>
      <c r="N65" s="98">
        <f t="shared" si="41"/>
        <v>0</v>
      </c>
      <c r="O65" s="98">
        <f t="shared" si="41"/>
        <v>0</v>
      </c>
    </row>
    <row r="66" spans="1:15" x14ac:dyDescent="0.25">
      <c r="A66" s="46" t="s">
        <v>110</v>
      </c>
      <c r="B66" s="71">
        <f>ROUND(B69*1.2,4)</f>
        <v>0</v>
      </c>
      <c r="C66" s="47" t="s">
        <v>67</v>
      </c>
      <c r="D66" s="71">
        <f t="shared" ref="D66:O66" si="42">ROUND(D69*1.2,4)</f>
        <v>0</v>
      </c>
      <c r="E66" s="71">
        <f t="shared" si="42"/>
        <v>0</v>
      </c>
      <c r="F66" s="71">
        <f t="shared" si="42"/>
        <v>608.99040000000002</v>
      </c>
      <c r="G66" s="71">
        <f t="shared" si="42"/>
        <v>0</v>
      </c>
      <c r="H66" s="71">
        <f t="shared" si="42"/>
        <v>0</v>
      </c>
      <c r="I66" s="71">
        <f t="shared" si="42"/>
        <v>0</v>
      </c>
      <c r="J66" s="71">
        <f t="shared" si="42"/>
        <v>0</v>
      </c>
      <c r="K66" s="71">
        <f t="shared" si="42"/>
        <v>0</v>
      </c>
      <c r="L66" s="71">
        <f t="shared" si="42"/>
        <v>0</v>
      </c>
      <c r="M66" s="71">
        <f t="shared" si="42"/>
        <v>0</v>
      </c>
      <c r="N66" s="71">
        <f t="shared" si="42"/>
        <v>0</v>
      </c>
      <c r="O66" s="71">
        <f t="shared" si="42"/>
        <v>608.99040000000002</v>
      </c>
    </row>
    <row r="67" spans="1:15" x14ac:dyDescent="0.25">
      <c r="A67" s="67" t="str">
        <f t="shared" ref="A67:O67" si="43">A5</f>
        <v>площа підвалів</v>
      </c>
      <c r="B67" s="68">
        <f t="shared" si="43"/>
        <v>685.8</v>
      </c>
      <c r="C67" s="67" t="str">
        <f t="shared" si="43"/>
        <v>м2</v>
      </c>
      <c r="D67" s="68">
        <f t="shared" si="43"/>
        <v>685.8</v>
      </c>
      <c r="E67" s="68">
        <f t="shared" si="43"/>
        <v>685.8</v>
      </c>
      <c r="F67" s="68">
        <f t="shared" si="43"/>
        <v>685.8</v>
      </c>
      <c r="G67" s="68">
        <f t="shared" si="43"/>
        <v>685.8</v>
      </c>
      <c r="H67" s="68">
        <f t="shared" si="43"/>
        <v>685.8</v>
      </c>
      <c r="I67" s="68">
        <f t="shared" si="43"/>
        <v>685.8</v>
      </c>
      <c r="J67" s="68">
        <f t="shared" si="43"/>
        <v>685.8</v>
      </c>
      <c r="K67" s="68">
        <f t="shared" si="43"/>
        <v>685.8</v>
      </c>
      <c r="L67" s="68">
        <f t="shared" si="43"/>
        <v>685.8</v>
      </c>
      <c r="M67" s="68">
        <f t="shared" si="43"/>
        <v>685.8</v>
      </c>
      <c r="N67" s="68">
        <f t="shared" si="43"/>
        <v>685.8</v>
      </c>
      <c r="O67" s="68">
        <f t="shared" si="43"/>
        <v>685.8</v>
      </c>
    </row>
    <row r="68" spans="1:15" x14ac:dyDescent="0.25">
      <c r="A68" s="72" t="s">
        <v>111</v>
      </c>
      <c r="B68" s="74">
        <f>[2]составляющие!$B$9</f>
        <v>0.54</v>
      </c>
      <c r="C68" s="72" t="s">
        <v>16</v>
      </c>
      <c r="D68" s="95"/>
      <c r="E68" s="95"/>
      <c r="F68" s="95">
        <v>0.74</v>
      </c>
      <c r="G68" s="95"/>
      <c r="H68" s="95"/>
      <c r="I68" s="95"/>
      <c r="J68" s="95"/>
      <c r="K68" s="95"/>
      <c r="L68" s="95"/>
      <c r="M68" s="95"/>
      <c r="N68" s="95"/>
      <c r="O68" s="95">
        <v>0.74</v>
      </c>
    </row>
    <row r="69" spans="1:15" s="99" customFormat="1" x14ac:dyDescent="0.25">
      <c r="A69" s="97" t="str">
        <f>A65</f>
        <v>ВСЬОГО витрати</v>
      </c>
      <c r="B69" s="98"/>
      <c r="C69" s="97">
        <f>C65</f>
        <v>0</v>
      </c>
      <c r="D69" s="98">
        <f>ROUND(D67*D68,4)</f>
        <v>0</v>
      </c>
      <c r="E69" s="98">
        <f t="shared" ref="E69:O69" si="44">ROUND(E67*E68,4)</f>
        <v>0</v>
      </c>
      <c r="F69" s="98">
        <f t="shared" si="44"/>
        <v>507.49200000000002</v>
      </c>
      <c r="G69" s="98">
        <f>ROUND(G67*G68,4)</f>
        <v>0</v>
      </c>
      <c r="H69" s="98">
        <f t="shared" si="44"/>
        <v>0</v>
      </c>
      <c r="I69" s="98">
        <f t="shared" si="44"/>
        <v>0</v>
      </c>
      <c r="J69" s="98">
        <f t="shared" si="44"/>
        <v>0</v>
      </c>
      <c r="K69" s="98">
        <f t="shared" si="44"/>
        <v>0</v>
      </c>
      <c r="L69" s="98">
        <f t="shared" si="44"/>
        <v>0</v>
      </c>
      <c r="M69" s="98">
        <f t="shared" si="44"/>
        <v>0</v>
      </c>
      <c r="N69" s="98">
        <f t="shared" si="44"/>
        <v>0</v>
      </c>
      <c r="O69" s="98">
        <f t="shared" si="44"/>
        <v>507.49200000000002</v>
      </c>
    </row>
    <row r="70" spans="1:15" x14ac:dyDescent="0.25">
      <c r="A70" s="46" t="s">
        <v>113</v>
      </c>
      <c r="B70" s="71">
        <f>ROUND(B73*1.2,4)</f>
        <v>0</v>
      </c>
      <c r="C70" s="47" t="s">
        <v>67</v>
      </c>
      <c r="D70" s="71">
        <f t="shared" ref="D70:O70" si="45">ROUND(D73*1.2,4)</f>
        <v>0</v>
      </c>
      <c r="E70" s="71">
        <f t="shared" si="45"/>
        <v>0</v>
      </c>
      <c r="F70" s="71">
        <f t="shared" si="45"/>
        <v>0</v>
      </c>
      <c r="G70" s="71">
        <f t="shared" si="45"/>
        <v>0</v>
      </c>
      <c r="H70" s="71">
        <f t="shared" si="45"/>
        <v>798.27120000000002</v>
      </c>
      <c r="I70" s="71">
        <f t="shared" si="45"/>
        <v>0</v>
      </c>
      <c r="J70" s="71">
        <f t="shared" si="45"/>
        <v>798.27120000000002</v>
      </c>
      <c r="K70" s="71">
        <f t="shared" si="45"/>
        <v>0</v>
      </c>
      <c r="L70" s="71">
        <f t="shared" si="45"/>
        <v>0</v>
      </c>
      <c r="M70" s="71">
        <f t="shared" si="45"/>
        <v>0</v>
      </c>
      <c r="N70" s="71">
        <f t="shared" si="45"/>
        <v>0</v>
      </c>
      <c r="O70" s="71">
        <f t="shared" si="45"/>
        <v>0</v>
      </c>
    </row>
    <row r="71" spans="1:15" x14ac:dyDescent="0.25">
      <c r="A71" s="67" t="str">
        <f>A67</f>
        <v>площа підвалів</v>
      </c>
      <c r="B71" s="68">
        <f>B67</f>
        <v>685.8</v>
      </c>
      <c r="C71" s="72" t="s">
        <v>12</v>
      </c>
      <c r="D71" s="68">
        <f t="shared" ref="D71:O71" si="46">D67</f>
        <v>685.8</v>
      </c>
      <c r="E71" s="68">
        <f t="shared" si="46"/>
        <v>685.8</v>
      </c>
      <c r="F71" s="68">
        <f t="shared" si="46"/>
        <v>685.8</v>
      </c>
      <c r="G71" s="68">
        <f t="shared" si="46"/>
        <v>685.8</v>
      </c>
      <c r="H71" s="68">
        <f t="shared" si="46"/>
        <v>685.8</v>
      </c>
      <c r="I71" s="68">
        <f t="shared" si="46"/>
        <v>685.8</v>
      </c>
      <c r="J71" s="68">
        <f t="shared" si="46"/>
        <v>685.8</v>
      </c>
      <c r="K71" s="68">
        <f t="shared" si="46"/>
        <v>685.8</v>
      </c>
      <c r="L71" s="68">
        <f t="shared" si="46"/>
        <v>685.8</v>
      </c>
      <c r="M71" s="68">
        <f t="shared" si="46"/>
        <v>685.8</v>
      </c>
      <c r="N71" s="68">
        <f t="shared" si="46"/>
        <v>685.8</v>
      </c>
      <c r="O71" s="68">
        <f t="shared" si="46"/>
        <v>685.8</v>
      </c>
    </row>
    <row r="72" spans="1:15" x14ac:dyDescent="0.25">
      <c r="A72" s="72" t="str">
        <f>A68</f>
        <v>вартість послуг сторонніх організацій</v>
      </c>
      <c r="B72" s="74">
        <f>[2]составляющие!$B$10</f>
        <v>0.73</v>
      </c>
      <c r="C72" s="72" t="s">
        <v>16</v>
      </c>
      <c r="D72" s="95"/>
      <c r="E72" s="95"/>
      <c r="F72" s="95"/>
      <c r="G72" s="95"/>
      <c r="H72" s="95">
        <v>0.97</v>
      </c>
      <c r="I72" s="95"/>
      <c r="J72" s="95">
        <v>0.97</v>
      </c>
      <c r="K72" s="95"/>
      <c r="L72" s="95"/>
      <c r="M72" s="95"/>
      <c r="N72" s="95"/>
      <c r="O72" s="95"/>
    </row>
    <row r="73" spans="1:15" s="99" customFormat="1" x14ac:dyDescent="0.25">
      <c r="A73" s="97" t="str">
        <f>A69</f>
        <v>ВСЬОГО витрати</v>
      </c>
      <c r="B73" s="98"/>
      <c r="C73" s="97">
        <f>C69</f>
        <v>0</v>
      </c>
      <c r="D73" s="98">
        <f>ROUND(D71*D72,4)</f>
        <v>0</v>
      </c>
      <c r="E73" s="98">
        <f t="shared" ref="E73:O73" si="47">ROUND(E71*E72,4)</f>
        <v>0</v>
      </c>
      <c r="F73" s="98">
        <f t="shared" si="47"/>
        <v>0</v>
      </c>
      <c r="G73" s="98">
        <f t="shared" si="47"/>
        <v>0</v>
      </c>
      <c r="H73" s="98">
        <f t="shared" si="47"/>
        <v>665.226</v>
      </c>
      <c r="I73" s="98">
        <f t="shared" si="47"/>
        <v>0</v>
      </c>
      <c r="J73" s="98">
        <f t="shared" si="47"/>
        <v>665.226</v>
      </c>
      <c r="K73" s="98">
        <f t="shared" si="47"/>
        <v>0</v>
      </c>
      <c r="L73" s="98">
        <f t="shared" si="47"/>
        <v>0</v>
      </c>
      <c r="M73" s="98">
        <f t="shared" si="47"/>
        <v>0</v>
      </c>
      <c r="N73" s="98">
        <f t="shared" si="47"/>
        <v>0</v>
      </c>
      <c r="O73" s="98">
        <f t="shared" si="47"/>
        <v>0</v>
      </c>
    </row>
    <row r="74" spans="1:15" s="79" customFormat="1" ht="47.25" x14ac:dyDescent="0.25">
      <c r="A74" s="46" t="s">
        <v>114</v>
      </c>
      <c r="B74" s="71">
        <f>ROUND(B76*1.2,4)</f>
        <v>0.64319999999999999</v>
      </c>
      <c r="C74" s="47" t="s">
        <v>67</v>
      </c>
      <c r="D74" s="71">
        <f t="shared" ref="D74:O74" si="48">ROUND(D76*1.2,4)</f>
        <v>1991.52</v>
      </c>
      <c r="E74" s="71">
        <f t="shared" si="48"/>
        <v>1870.56</v>
      </c>
      <c r="F74" s="71">
        <f t="shared" si="48"/>
        <v>2289.6</v>
      </c>
      <c r="G74" s="71">
        <f t="shared" si="48"/>
        <v>2233.44</v>
      </c>
      <c r="H74" s="71">
        <f t="shared" si="48"/>
        <v>1900.8</v>
      </c>
      <c r="I74" s="71">
        <f t="shared" si="48"/>
        <v>1952.64</v>
      </c>
      <c r="J74" s="71">
        <f t="shared" si="48"/>
        <v>1740.96</v>
      </c>
      <c r="K74" s="71">
        <f t="shared" si="48"/>
        <v>1961.28</v>
      </c>
      <c r="L74" s="71">
        <f t="shared" si="48"/>
        <v>1598.4</v>
      </c>
      <c r="M74" s="71">
        <f t="shared" si="48"/>
        <v>1892.16</v>
      </c>
      <c r="N74" s="71">
        <f t="shared" si="48"/>
        <v>1196.6400000000001</v>
      </c>
      <c r="O74" s="71">
        <f t="shared" si="48"/>
        <v>946.08</v>
      </c>
    </row>
    <row r="75" spans="1:15" s="79" customFormat="1" x14ac:dyDescent="0.25">
      <c r="A75" s="69" t="s">
        <v>115</v>
      </c>
      <c r="B75" s="81">
        <f>[2]світло!$I$89</f>
        <v>0.53600000000000003</v>
      </c>
      <c r="C75" s="80" t="s">
        <v>71</v>
      </c>
      <c r="D75" s="95">
        <v>1659.6</v>
      </c>
      <c r="E75" s="95">
        <v>1558.8</v>
      </c>
      <c r="F75" s="95">
        <v>1908</v>
      </c>
      <c r="G75" s="95">
        <v>1861.2</v>
      </c>
      <c r="H75" s="95">
        <v>1584</v>
      </c>
      <c r="I75" s="95">
        <v>1627.2</v>
      </c>
      <c r="J75" s="95">
        <v>1450.8</v>
      </c>
      <c r="K75" s="95">
        <v>1634.4</v>
      </c>
      <c r="L75" s="95">
        <v>1332</v>
      </c>
      <c r="M75" s="95">
        <v>1576.8</v>
      </c>
      <c r="N75" s="95">
        <v>997.2</v>
      </c>
      <c r="O75" s="95">
        <v>788.4</v>
      </c>
    </row>
    <row r="76" spans="1:15" s="99" customFormat="1" x14ac:dyDescent="0.25">
      <c r="A76" s="97" t="str">
        <f>A69</f>
        <v>ВСЬОГО витрати</v>
      </c>
      <c r="B76" s="98">
        <f>B75</f>
        <v>0.53600000000000003</v>
      </c>
      <c r="C76" s="97">
        <f>C73</f>
        <v>0</v>
      </c>
      <c r="D76" s="98">
        <f t="shared" ref="D76:O76" si="49">D75</f>
        <v>1659.6</v>
      </c>
      <c r="E76" s="98">
        <f t="shared" si="49"/>
        <v>1558.8</v>
      </c>
      <c r="F76" s="98">
        <f t="shared" si="49"/>
        <v>1908</v>
      </c>
      <c r="G76" s="98">
        <f t="shared" si="49"/>
        <v>1861.2</v>
      </c>
      <c r="H76" s="98">
        <f t="shared" si="49"/>
        <v>1584</v>
      </c>
      <c r="I76" s="98">
        <f t="shared" si="49"/>
        <v>1627.2</v>
      </c>
      <c r="J76" s="98">
        <f t="shared" si="49"/>
        <v>1450.8</v>
      </c>
      <c r="K76" s="98">
        <f t="shared" si="49"/>
        <v>1634.4</v>
      </c>
      <c r="L76" s="98">
        <f t="shared" si="49"/>
        <v>1332</v>
      </c>
      <c r="M76" s="98">
        <f t="shared" si="49"/>
        <v>1576.8</v>
      </c>
      <c r="N76" s="98">
        <f t="shared" si="49"/>
        <v>997.2</v>
      </c>
      <c r="O76" s="98">
        <f t="shared" si="49"/>
        <v>788.4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1"/>
  <sheetViews>
    <sheetView workbookViewId="0">
      <selection sqref="A1:XFD1048576"/>
    </sheetView>
  </sheetViews>
  <sheetFormatPr defaultRowHeight="15.75" x14ac:dyDescent="0.25"/>
  <cols>
    <col min="1" max="1" width="64.7109375" style="61" bestFit="1" customWidth="1"/>
    <col min="2" max="2" width="13.140625" style="82" bestFit="1" customWidth="1"/>
    <col min="3" max="3" width="20.85546875" style="61" bestFit="1" customWidth="1"/>
    <col min="4" max="4" width="64.42578125" style="63" bestFit="1" customWidth="1"/>
    <col min="5" max="16384" width="9.140625" style="63"/>
  </cols>
  <sheetData>
    <row r="1" spans="1:3" x14ac:dyDescent="0.25">
      <c r="B1" s="62" t="s">
        <v>41</v>
      </c>
      <c r="C1" s="62"/>
    </row>
    <row r="2" spans="1:3" x14ac:dyDescent="0.25">
      <c r="B2" s="62" t="s">
        <v>42</v>
      </c>
      <c r="C2" s="62"/>
    </row>
    <row r="3" spans="1:3" x14ac:dyDescent="0.25">
      <c r="B3" s="62" t="s">
        <v>43</v>
      </c>
      <c r="C3" s="62"/>
    </row>
    <row r="4" spans="1:3" x14ac:dyDescent="0.25">
      <c r="A4" s="108" t="s">
        <v>44</v>
      </c>
      <c r="B4" s="108"/>
      <c r="C4" s="108"/>
    </row>
    <row r="5" spans="1:3" s="64" customFormat="1" x14ac:dyDescent="0.25">
      <c r="A5" s="109" t="s">
        <v>139</v>
      </c>
      <c r="B5" s="109"/>
      <c r="C5" s="109"/>
    </row>
    <row r="6" spans="1:3" s="66" customFormat="1" x14ac:dyDescent="0.25">
      <c r="A6" s="65" t="s">
        <v>45</v>
      </c>
      <c r="B6" s="65" t="s">
        <v>46</v>
      </c>
      <c r="C6" s="65" t="s">
        <v>47</v>
      </c>
    </row>
    <row r="7" spans="1:3" x14ac:dyDescent="0.25">
      <c r="A7" s="67" t="s">
        <v>48</v>
      </c>
      <c r="B7" s="68">
        <f>[3]управление!$C$181</f>
        <v>3136</v>
      </c>
      <c r="C7" s="67" t="s">
        <v>12</v>
      </c>
    </row>
    <row r="8" spans="1:3" x14ac:dyDescent="0.25">
      <c r="A8" s="69" t="s">
        <v>49</v>
      </c>
      <c r="B8" s="70">
        <v>4</v>
      </c>
      <c r="C8" s="67" t="s">
        <v>13</v>
      </c>
    </row>
    <row r="9" spans="1:3" x14ac:dyDescent="0.25">
      <c r="A9" s="69" t="s">
        <v>50</v>
      </c>
      <c r="B9" s="68"/>
      <c r="C9" s="67" t="s">
        <v>12</v>
      </c>
    </row>
    <row r="10" spans="1:3" x14ac:dyDescent="0.25">
      <c r="A10" s="69" t="s">
        <v>51</v>
      </c>
      <c r="B10" s="70"/>
      <c r="C10" s="67" t="s">
        <v>13</v>
      </c>
    </row>
    <row r="11" spans="1:3" x14ac:dyDescent="0.25">
      <c r="A11" s="69" t="s">
        <v>52</v>
      </c>
      <c r="B11" s="68">
        <v>880.6</v>
      </c>
      <c r="C11" s="67" t="s">
        <v>12</v>
      </c>
    </row>
    <row r="12" spans="1:3" x14ac:dyDescent="0.25">
      <c r="A12" s="69" t="s">
        <v>53</v>
      </c>
      <c r="B12" s="70">
        <v>60</v>
      </c>
      <c r="C12" s="67" t="s">
        <v>13</v>
      </c>
    </row>
    <row r="13" spans="1:3" x14ac:dyDescent="0.25">
      <c r="A13" s="69" t="s">
        <v>54</v>
      </c>
      <c r="B13" s="68">
        <v>685.8</v>
      </c>
      <c r="C13" s="67" t="s">
        <v>12</v>
      </c>
    </row>
    <row r="14" spans="1:3" x14ac:dyDescent="0.25">
      <c r="A14" s="69" t="s">
        <v>55</v>
      </c>
      <c r="B14" s="68"/>
      <c r="C14" s="67" t="s">
        <v>12</v>
      </c>
    </row>
    <row r="15" spans="1:3" x14ac:dyDescent="0.25">
      <c r="A15" s="69" t="s">
        <v>56</v>
      </c>
      <c r="B15" s="68">
        <v>1080</v>
      </c>
      <c r="C15" s="67" t="s">
        <v>57</v>
      </c>
    </row>
    <row r="16" spans="1:3" x14ac:dyDescent="0.25">
      <c r="A16" s="69" t="s">
        <v>58</v>
      </c>
      <c r="B16" s="68">
        <f>[3]світло!$J$41</f>
        <v>156</v>
      </c>
      <c r="C16" s="67" t="s">
        <v>57</v>
      </c>
    </row>
    <row r="17" spans="1:3" x14ac:dyDescent="0.25">
      <c r="A17" s="69" t="s">
        <v>59</v>
      </c>
      <c r="B17" s="70"/>
      <c r="C17" s="67" t="s">
        <v>13</v>
      </c>
    </row>
    <row r="18" spans="1:3" x14ac:dyDescent="0.25">
      <c r="A18" s="69" t="s">
        <v>60</v>
      </c>
      <c r="B18" s="70">
        <v>2</v>
      </c>
      <c r="C18" s="67" t="s">
        <v>13</v>
      </c>
    </row>
    <row r="19" spans="1:3" x14ac:dyDescent="0.25">
      <c r="A19" s="69" t="s">
        <v>61</v>
      </c>
      <c r="B19" s="68"/>
      <c r="C19" s="67" t="s">
        <v>12</v>
      </c>
    </row>
    <row r="20" spans="1:3" x14ac:dyDescent="0.25">
      <c r="A20" s="69" t="s">
        <v>62</v>
      </c>
      <c r="B20" s="68"/>
      <c r="C20" s="67" t="s">
        <v>12</v>
      </c>
    </row>
    <row r="21" spans="1:3" x14ac:dyDescent="0.25">
      <c r="A21" s="69" t="s">
        <v>63</v>
      </c>
      <c r="B21" s="68"/>
      <c r="C21" s="67" t="s">
        <v>12</v>
      </c>
    </row>
    <row r="22" spans="1:3" x14ac:dyDescent="0.25">
      <c r="A22" s="67" t="s">
        <v>64</v>
      </c>
      <c r="B22" s="68">
        <f>[3]Прибудинкова!$C$181</f>
        <v>1649.4</v>
      </c>
      <c r="C22" s="67" t="s">
        <v>12</v>
      </c>
    </row>
    <row r="23" spans="1:3" x14ac:dyDescent="0.25">
      <c r="A23" s="67" t="s">
        <v>65</v>
      </c>
      <c r="B23" s="68">
        <v>120</v>
      </c>
      <c r="C23" s="67" t="s">
        <v>12</v>
      </c>
    </row>
    <row r="24" spans="1:3" x14ac:dyDescent="0.25">
      <c r="A24" s="46" t="s">
        <v>66</v>
      </c>
      <c r="B24" s="71">
        <f>ROUND(B51*1.2,4)</f>
        <v>1.7628999999999999</v>
      </c>
      <c r="C24" s="47" t="s">
        <v>67</v>
      </c>
    </row>
    <row r="25" spans="1:3" x14ac:dyDescent="0.25">
      <c r="A25" s="67" t="str">
        <f>A12</f>
        <v>кількість квартир</v>
      </c>
      <c r="B25" s="70">
        <f>B12</f>
        <v>60</v>
      </c>
      <c r="C25" s="72" t="s">
        <v>13</v>
      </c>
    </row>
    <row r="26" spans="1:3" x14ac:dyDescent="0.25">
      <c r="A26" s="67" t="str">
        <f>A7</f>
        <v>загальна площа будинку</v>
      </c>
      <c r="B26" s="68">
        <f t="shared" ref="B26:C26" si="0">B7</f>
        <v>3136</v>
      </c>
      <c r="C26" s="67" t="str">
        <f t="shared" si="0"/>
        <v>м2</v>
      </c>
    </row>
    <row r="27" spans="1:3" x14ac:dyDescent="0.25">
      <c r="A27" s="67" t="str">
        <f>A16</f>
        <v>протяжність електропроводки</v>
      </c>
      <c r="B27" s="70">
        <f>B16</f>
        <v>156</v>
      </c>
      <c r="C27" s="72" t="s">
        <v>57</v>
      </c>
    </row>
    <row r="28" spans="1:3" x14ac:dyDescent="0.25">
      <c r="A28" s="72" t="s">
        <v>14</v>
      </c>
      <c r="B28" s="70">
        <f>[3]составляющие!$B$13/[3]составляющие!$B$19</f>
        <v>394.33333333333331</v>
      </c>
      <c r="C28" s="72" t="s">
        <v>15</v>
      </c>
    </row>
    <row r="29" spans="1:3" x14ac:dyDescent="0.25">
      <c r="A29" s="72" t="s">
        <v>68</v>
      </c>
      <c r="B29" s="70">
        <f>[3]составляющие!$B$15/[3]составляющие!$B$20</f>
        <v>105172.50500000008</v>
      </c>
      <c r="C29" s="72" t="s">
        <v>12</v>
      </c>
    </row>
    <row r="30" spans="1:3" x14ac:dyDescent="0.25">
      <c r="A30" s="72" t="s">
        <v>69</v>
      </c>
      <c r="B30" s="70">
        <f>[3]составляющие!$B$16/[3]составляющие!$B$21</f>
        <v>21204</v>
      </c>
      <c r="C30" s="72" t="s">
        <v>57</v>
      </c>
    </row>
    <row r="31" spans="1:3" x14ac:dyDescent="0.25">
      <c r="A31" s="72" t="s">
        <v>70</v>
      </c>
      <c r="B31" s="68">
        <f>[3]составляющие!$B$3</f>
        <v>12789.85</v>
      </c>
      <c r="C31" s="72" t="s">
        <v>71</v>
      </c>
    </row>
    <row r="32" spans="1:3" x14ac:dyDescent="0.25">
      <c r="A32" s="72" t="s">
        <v>72</v>
      </c>
      <c r="B32" s="68">
        <f>[3]составляющие!$B$4</f>
        <v>18350.97</v>
      </c>
      <c r="C32" s="72" t="s">
        <v>71</v>
      </c>
    </row>
    <row r="33" spans="1:3" x14ac:dyDescent="0.25">
      <c r="A33" s="72" t="s">
        <v>73</v>
      </c>
      <c r="B33" s="68">
        <v>11335</v>
      </c>
      <c r="C33" s="72" t="s">
        <v>71</v>
      </c>
    </row>
    <row r="34" spans="1:3" x14ac:dyDescent="0.25">
      <c r="A34" s="72" t="s">
        <v>74</v>
      </c>
      <c r="B34" s="73">
        <v>0.22</v>
      </c>
      <c r="C34" s="72"/>
    </row>
    <row r="35" spans="1:3" x14ac:dyDescent="0.25">
      <c r="A35" s="72" t="s">
        <v>75</v>
      </c>
      <c r="B35" s="73">
        <v>0.5</v>
      </c>
      <c r="C35" s="72"/>
    </row>
    <row r="36" spans="1:3" x14ac:dyDescent="0.25">
      <c r="A36" s="72" t="s">
        <v>76</v>
      </c>
      <c r="B36" s="74">
        <f>[3]составляющие!$B$6</f>
        <v>831.75</v>
      </c>
      <c r="C36" s="72" t="s">
        <v>71</v>
      </c>
    </row>
    <row r="37" spans="1:3" x14ac:dyDescent="0.25">
      <c r="A37" s="72" t="s">
        <v>77</v>
      </c>
      <c r="B37" s="74">
        <f>[3]составляющие!$B$7</f>
        <v>1419.71</v>
      </c>
      <c r="C37" s="72" t="s">
        <v>71</v>
      </c>
    </row>
    <row r="38" spans="1:3" x14ac:dyDescent="0.25">
      <c r="A38" s="72" t="s">
        <v>78</v>
      </c>
      <c r="B38" s="74">
        <f>[3]составляющие!$B$8</f>
        <v>677.5</v>
      </c>
      <c r="C38" s="72" t="s">
        <v>71</v>
      </c>
    </row>
    <row r="39" spans="1:3" x14ac:dyDescent="0.25">
      <c r="A39" s="72" t="s">
        <v>79</v>
      </c>
      <c r="B39" s="74">
        <f>ROUND(B25/B28,4)</f>
        <v>0.1522</v>
      </c>
      <c r="C39" s="72" t="s">
        <v>80</v>
      </c>
    </row>
    <row r="40" spans="1:3" x14ac:dyDescent="0.25">
      <c r="A40" s="72" t="s">
        <v>81</v>
      </c>
      <c r="B40" s="74">
        <f>ROUND(B26/B29,4)</f>
        <v>2.98E-2</v>
      </c>
      <c r="C40" s="72" t="s">
        <v>80</v>
      </c>
    </row>
    <row r="41" spans="1:3" x14ac:dyDescent="0.25">
      <c r="A41" s="72" t="s">
        <v>82</v>
      </c>
      <c r="B41" s="74">
        <f>ROUND(B27/B30,4)</f>
        <v>7.4000000000000003E-3</v>
      </c>
      <c r="C41" s="72" t="s">
        <v>80</v>
      </c>
    </row>
    <row r="42" spans="1:3" x14ac:dyDescent="0.25">
      <c r="A42" s="72" t="s">
        <v>83</v>
      </c>
      <c r="B42" s="74">
        <f>ROUND(B39*B31,4)</f>
        <v>1946.6152</v>
      </c>
      <c r="C42" s="72" t="s">
        <v>71</v>
      </c>
    </row>
    <row r="43" spans="1:3" x14ac:dyDescent="0.25">
      <c r="A43" s="72" t="s">
        <v>84</v>
      </c>
      <c r="B43" s="74">
        <f>ROUND(B32*B40,4)</f>
        <v>546.85889999999995</v>
      </c>
      <c r="C43" s="72" t="s">
        <v>71</v>
      </c>
    </row>
    <row r="44" spans="1:3" x14ac:dyDescent="0.25">
      <c r="A44" s="72" t="s">
        <v>85</v>
      </c>
      <c r="B44" s="74">
        <f>ROUND(B33*B41,4)</f>
        <v>83.879000000000005</v>
      </c>
      <c r="C44" s="72" t="s">
        <v>71</v>
      </c>
    </row>
    <row r="45" spans="1:3" x14ac:dyDescent="0.25">
      <c r="A45" s="72" t="s">
        <v>86</v>
      </c>
      <c r="B45" s="74">
        <f>B42+B43+B44</f>
        <v>2577.3530999999998</v>
      </c>
      <c r="C45" s="72" t="s">
        <v>71</v>
      </c>
    </row>
    <row r="46" spans="1:3" x14ac:dyDescent="0.25">
      <c r="A46" s="72" t="s">
        <v>87</v>
      </c>
      <c r="B46" s="74">
        <f>ROUND(B45*B34,4)</f>
        <v>567.01769999999999</v>
      </c>
      <c r="C46" s="72" t="s">
        <v>71</v>
      </c>
    </row>
    <row r="47" spans="1:3" x14ac:dyDescent="0.25">
      <c r="A47" s="72" t="s">
        <v>88</v>
      </c>
      <c r="B47" s="74">
        <f>ROUND(B45*B35,4)</f>
        <v>1288.6766</v>
      </c>
      <c r="C47" s="72" t="s">
        <v>71</v>
      </c>
    </row>
    <row r="48" spans="1:3" x14ac:dyDescent="0.25">
      <c r="A48" s="72" t="s">
        <v>89</v>
      </c>
      <c r="B48" s="74">
        <f>ROUND(B39*B36+B40*B37+B38*B41,4)</f>
        <v>173.91319999999999</v>
      </c>
      <c r="C48" s="72" t="s">
        <v>71</v>
      </c>
    </row>
    <row r="49" spans="1:3" x14ac:dyDescent="0.25">
      <c r="A49" s="72" t="s">
        <v>90</v>
      </c>
      <c r="B49" s="74">
        <f>B45+B46+B47+B48</f>
        <v>4606.9605999999994</v>
      </c>
      <c r="C49" s="72" t="s">
        <v>71</v>
      </c>
    </row>
    <row r="50" spans="1:3" x14ac:dyDescent="0.25">
      <c r="A50" s="67" t="str">
        <f>A7</f>
        <v>загальна площа будинку</v>
      </c>
      <c r="B50" s="68">
        <f t="shared" ref="B50:C50" si="1">B7</f>
        <v>3136</v>
      </c>
      <c r="C50" s="67" t="str">
        <f t="shared" si="1"/>
        <v>м2</v>
      </c>
    </row>
    <row r="51" spans="1:3" x14ac:dyDescent="0.25">
      <c r="A51" s="72" t="s">
        <v>91</v>
      </c>
      <c r="B51" s="74">
        <f>ROUND(B49/B50,4)</f>
        <v>1.4691000000000001</v>
      </c>
      <c r="C51" s="72" t="s">
        <v>71</v>
      </c>
    </row>
    <row r="52" spans="1:3" x14ac:dyDescent="0.25">
      <c r="A52" s="46" t="s">
        <v>92</v>
      </c>
      <c r="B52" s="71">
        <f>ROUND(B57*1.2,4)</f>
        <v>0.22320000000000001</v>
      </c>
      <c r="C52" s="47" t="s">
        <v>67</v>
      </c>
    </row>
    <row r="53" spans="1:3" x14ac:dyDescent="0.25">
      <c r="A53" s="67" t="str">
        <f>A15</f>
        <v>протяжність димових та вентиляційних каналів</v>
      </c>
      <c r="B53" s="68">
        <f>B15</f>
        <v>1080</v>
      </c>
      <c r="C53" s="67" t="str">
        <f>C15</f>
        <v>м.п.</v>
      </c>
    </row>
    <row r="54" spans="1:3" x14ac:dyDescent="0.25">
      <c r="A54" s="72" t="s">
        <v>93</v>
      </c>
      <c r="B54" s="68">
        <f>[3]составляющие!$B$9</f>
        <v>0.54</v>
      </c>
      <c r="C54" s="72" t="s">
        <v>94</v>
      </c>
    </row>
    <row r="55" spans="1:3" x14ac:dyDescent="0.25">
      <c r="A55" s="72" t="s">
        <v>95</v>
      </c>
      <c r="B55" s="74">
        <f>ROUND(B54*B53,4)</f>
        <v>583.20000000000005</v>
      </c>
      <c r="C55" s="72" t="s">
        <v>71</v>
      </c>
    </row>
    <row r="56" spans="1:3" x14ac:dyDescent="0.25">
      <c r="A56" s="67" t="str">
        <f>A7</f>
        <v>загальна площа будинку</v>
      </c>
      <c r="B56" s="68">
        <f t="shared" ref="B56:C56" si="2">B7</f>
        <v>3136</v>
      </c>
      <c r="C56" s="67" t="str">
        <f t="shared" si="2"/>
        <v>м2</v>
      </c>
    </row>
    <row r="57" spans="1:3" x14ac:dyDescent="0.25">
      <c r="A57" s="72" t="str">
        <f>A51</f>
        <v>вартість 1 (одного) м2</v>
      </c>
      <c r="B57" s="74">
        <f>ROUND(B55/B56,4)</f>
        <v>0.186</v>
      </c>
      <c r="C57" s="72" t="str">
        <f>C51</f>
        <v>грн./міс.</v>
      </c>
    </row>
    <row r="58" spans="1:3" x14ac:dyDescent="0.25">
      <c r="A58" s="47" t="s">
        <v>96</v>
      </c>
      <c r="B58" s="75">
        <f>ROUND(B61*1.2,4)</f>
        <v>1.2244999999999999</v>
      </c>
      <c r="C58" s="47" t="s">
        <v>67</v>
      </c>
    </row>
    <row r="59" spans="1:3" x14ac:dyDescent="0.25">
      <c r="A59" s="72" t="s">
        <v>97</v>
      </c>
      <c r="B59" s="68">
        <v>3200</v>
      </c>
      <c r="C59" s="72" t="s">
        <v>71</v>
      </c>
    </row>
    <row r="60" spans="1:3" x14ac:dyDescent="0.25">
      <c r="A60" s="67" t="str">
        <f>A7</f>
        <v>загальна площа будинку</v>
      </c>
      <c r="B60" s="68">
        <f>B7</f>
        <v>3136</v>
      </c>
      <c r="C60" s="67" t="str">
        <f>C7</f>
        <v>м2</v>
      </c>
    </row>
    <row r="61" spans="1:3" x14ac:dyDescent="0.25">
      <c r="A61" s="72" t="str">
        <f>A57</f>
        <v>вартість 1 (одного) м2</v>
      </c>
      <c r="B61" s="74">
        <f>ROUND(B59/B60,4)</f>
        <v>1.0204</v>
      </c>
      <c r="C61" s="72" t="str">
        <f>C57</f>
        <v>грн./міс.</v>
      </c>
    </row>
    <row r="62" spans="1:3" x14ac:dyDescent="0.25">
      <c r="A62" s="47" t="s">
        <v>98</v>
      </c>
      <c r="B62" s="75">
        <f>ROUND(B65*1.2,4)</f>
        <v>0.91559999999999997</v>
      </c>
      <c r="C62" s="47" t="s">
        <v>67</v>
      </c>
    </row>
    <row r="63" spans="1:3" x14ac:dyDescent="0.25">
      <c r="A63" s="72" t="str">
        <f>A59</f>
        <v>витрати ТМЦ (матеріали)</v>
      </c>
      <c r="B63" s="68">
        <f>[3]матеріали!$F$49</f>
        <v>2392.6266666666666</v>
      </c>
      <c r="C63" s="72" t="s">
        <v>71</v>
      </c>
    </row>
    <row r="64" spans="1:3" x14ac:dyDescent="0.25">
      <c r="A64" s="67" t="str">
        <f>A7</f>
        <v>загальна площа будинку</v>
      </c>
      <c r="B64" s="68">
        <f t="shared" ref="B64:C64" si="3">B7</f>
        <v>3136</v>
      </c>
      <c r="C64" s="67" t="str">
        <f t="shared" si="3"/>
        <v>м2</v>
      </c>
    </row>
    <row r="65" spans="1:3" x14ac:dyDescent="0.25">
      <c r="A65" s="72" t="str">
        <f>A61</f>
        <v>вартість 1 (одного) м2</v>
      </c>
      <c r="B65" s="74">
        <f>ROUND(B63/B64,4)</f>
        <v>0.76300000000000001</v>
      </c>
      <c r="C65" s="72" t="str">
        <f>C61</f>
        <v>грн./міс.</v>
      </c>
    </row>
    <row r="66" spans="1:3" x14ac:dyDescent="0.25">
      <c r="A66" s="46" t="s">
        <v>99</v>
      </c>
      <c r="B66" s="71">
        <f>ROUND(B81*1.2,4)</f>
        <v>0.9577</v>
      </c>
      <c r="C66" s="47" t="s">
        <v>67</v>
      </c>
    </row>
    <row r="67" spans="1:3" x14ac:dyDescent="0.25">
      <c r="A67" s="67" t="str">
        <f>A22</f>
        <v>територія, що прибирається</v>
      </c>
      <c r="B67" s="68">
        <f>B22</f>
        <v>1649.4</v>
      </c>
      <c r="C67" s="72" t="s">
        <v>12</v>
      </c>
    </row>
    <row r="68" spans="1:3" x14ac:dyDescent="0.25">
      <c r="A68" s="72" t="s">
        <v>100</v>
      </c>
      <c r="B68" s="70">
        <f>[3]составляющие!$B$14/[3]составляющие!$B$18</f>
        <v>9139.7278571428578</v>
      </c>
      <c r="C68" s="72" t="s">
        <v>12</v>
      </c>
    </row>
    <row r="69" spans="1:3" x14ac:dyDescent="0.25">
      <c r="A69" s="72" t="s">
        <v>101</v>
      </c>
      <c r="B69" s="68">
        <f>[3]составляющие!$B$1</f>
        <v>7475.29</v>
      </c>
      <c r="C69" s="72" t="str">
        <f>C65</f>
        <v>грн./міс.</v>
      </c>
    </row>
    <row r="70" spans="1:3" x14ac:dyDescent="0.25">
      <c r="A70" s="72" t="s">
        <v>74</v>
      </c>
      <c r="B70" s="73">
        <v>0.22</v>
      </c>
      <c r="C70" s="72"/>
    </row>
    <row r="71" spans="1:3" x14ac:dyDescent="0.25">
      <c r="A71" s="72" t="s">
        <v>75</v>
      </c>
      <c r="B71" s="73">
        <v>0.5</v>
      </c>
      <c r="C71" s="72"/>
    </row>
    <row r="72" spans="1:3" x14ac:dyDescent="0.25">
      <c r="A72" s="72" t="s">
        <v>102</v>
      </c>
      <c r="B72" s="74">
        <f>[3]составляющие!$B$2</f>
        <v>1008.99</v>
      </c>
      <c r="C72" s="72" t="s">
        <v>71</v>
      </c>
    </row>
    <row r="73" spans="1:3" x14ac:dyDescent="0.25">
      <c r="A73" s="72" t="s">
        <v>103</v>
      </c>
      <c r="B73" s="74">
        <f>ROUND(B67/B68,4)</f>
        <v>0.18049999999999999</v>
      </c>
      <c r="C73" s="72" t="s">
        <v>80</v>
      </c>
    </row>
    <row r="74" spans="1:3" x14ac:dyDescent="0.25">
      <c r="A74" s="72" t="s">
        <v>104</v>
      </c>
      <c r="B74" s="74">
        <f>ROUND(B73*B69,4)</f>
        <v>1349.2898</v>
      </c>
      <c r="C74" s="72" t="s">
        <v>71</v>
      </c>
    </row>
    <row r="75" spans="1:3" x14ac:dyDescent="0.25">
      <c r="A75" s="72" t="s">
        <v>86</v>
      </c>
      <c r="B75" s="74">
        <f>B74</f>
        <v>1349.2898</v>
      </c>
      <c r="C75" s="72" t="s">
        <v>71</v>
      </c>
    </row>
    <row r="76" spans="1:3" x14ac:dyDescent="0.25">
      <c r="A76" s="72" t="s">
        <v>87</v>
      </c>
      <c r="B76" s="74">
        <f>ROUND(B75*B70,4)</f>
        <v>296.84379999999999</v>
      </c>
      <c r="C76" s="72" t="s">
        <v>71</v>
      </c>
    </row>
    <row r="77" spans="1:3" x14ac:dyDescent="0.25">
      <c r="A77" s="72" t="s">
        <v>88</v>
      </c>
      <c r="B77" s="74">
        <f>ROUND(B75*B71,4)</f>
        <v>674.64490000000001</v>
      </c>
      <c r="C77" s="72" t="s">
        <v>71</v>
      </c>
    </row>
    <row r="78" spans="1:3" x14ac:dyDescent="0.25">
      <c r="A78" s="72" t="s">
        <v>89</v>
      </c>
      <c r="B78" s="74">
        <f>ROUND(B73*B72,4)</f>
        <v>182.12270000000001</v>
      </c>
      <c r="C78" s="72" t="s">
        <v>71</v>
      </c>
    </row>
    <row r="79" spans="1:3" x14ac:dyDescent="0.25">
      <c r="A79" s="72" t="s">
        <v>90</v>
      </c>
      <c r="B79" s="74">
        <f>SUM(B75:B78)</f>
        <v>2502.9012000000002</v>
      </c>
      <c r="C79" s="72" t="s">
        <v>71</v>
      </c>
    </row>
    <row r="80" spans="1:3" x14ac:dyDescent="0.25">
      <c r="A80" s="67" t="str">
        <f>A7</f>
        <v>загальна площа будинку</v>
      </c>
      <c r="B80" s="68">
        <f t="shared" ref="B80:C80" si="4">B7</f>
        <v>3136</v>
      </c>
      <c r="C80" s="67" t="str">
        <f t="shared" si="4"/>
        <v>м2</v>
      </c>
    </row>
    <row r="81" spans="1:3" x14ac:dyDescent="0.25">
      <c r="A81" s="72" t="str">
        <f>A65</f>
        <v>вартість 1 (одного) м2</v>
      </c>
      <c r="B81" s="74">
        <f>ROUND(B79/B80,4)</f>
        <v>0.79810000000000003</v>
      </c>
      <c r="C81" s="72" t="str">
        <f>C65</f>
        <v>грн./міс.</v>
      </c>
    </row>
    <row r="82" spans="1:3" ht="31.5" x14ac:dyDescent="0.25">
      <c r="A82" s="46" t="s">
        <v>105</v>
      </c>
      <c r="B82" s="75">
        <f>ROUND(B88*1.2,4)</f>
        <v>2.5999999999999999E-3</v>
      </c>
      <c r="C82" s="47" t="s">
        <v>67</v>
      </c>
    </row>
    <row r="83" spans="1:3" x14ac:dyDescent="0.25">
      <c r="A83" s="72" t="s">
        <v>106</v>
      </c>
      <c r="B83" s="74">
        <v>0.03</v>
      </c>
      <c r="C83" s="72" t="s">
        <v>17</v>
      </c>
    </row>
    <row r="84" spans="1:3" x14ac:dyDescent="0.25">
      <c r="A84" s="72" t="s">
        <v>107</v>
      </c>
      <c r="B84" s="68">
        <f>[3]составляющие!$B$12</f>
        <v>188.71</v>
      </c>
      <c r="C84" s="72" t="s">
        <v>18</v>
      </c>
    </row>
    <row r="85" spans="1:3" x14ac:dyDescent="0.25">
      <c r="A85" s="67" t="str">
        <f>A23</f>
        <v>площа, яка підлягає посипанню</v>
      </c>
      <c r="B85" s="70">
        <f t="shared" ref="B85:C85" si="5">B23</f>
        <v>120</v>
      </c>
      <c r="C85" s="67" t="str">
        <f t="shared" si="5"/>
        <v>м2</v>
      </c>
    </row>
    <row r="86" spans="1:3" x14ac:dyDescent="0.25">
      <c r="A86" s="72" t="s">
        <v>108</v>
      </c>
      <c r="B86" s="70">
        <v>12</v>
      </c>
      <c r="C86" s="72" t="s">
        <v>109</v>
      </c>
    </row>
    <row r="87" spans="1:3" x14ac:dyDescent="0.25">
      <c r="A87" s="76" t="str">
        <f>A7</f>
        <v>загальна площа будинку</v>
      </c>
      <c r="B87" s="68">
        <f>B7</f>
        <v>3136</v>
      </c>
      <c r="C87" s="76" t="str">
        <f>C7</f>
        <v>м2</v>
      </c>
    </row>
    <row r="88" spans="1:3" x14ac:dyDescent="0.25">
      <c r="A88" s="72" t="str">
        <f>A81</f>
        <v>вартість 1 (одного) м2</v>
      </c>
      <c r="B88" s="74">
        <f>ROUND((B83*B84)/100*B85*B86/12/B87,4)</f>
        <v>2.2000000000000001E-3</v>
      </c>
      <c r="C88" s="72" t="str">
        <f>C81</f>
        <v>грн./міс.</v>
      </c>
    </row>
    <row r="89" spans="1:3" x14ac:dyDescent="0.25">
      <c r="A89" s="46" t="s">
        <v>110</v>
      </c>
      <c r="B89" s="71">
        <f>ROUND(B94*1.2,4)</f>
        <v>2.3599999999999999E-2</v>
      </c>
      <c r="C89" s="47" t="s">
        <v>67</v>
      </c>
    </row>
    <row r="90" spans="1:3" x14ac:dyDescent="0.25">
      <c r="A90" s="67" t="str">
        <f>A13</f>
        <v>площа підвалів</v>
      </c>
      <c r="B90" s="68">
        <f>B13</f>
        <v>685.8</v>
      </c>
      <c r="C90" s="67" t="str">
        <f>C13</f>
        <v>м2</v>
      </c>
    </row>
    <row r="91" spans="1:3" x14ac:dyDescent="0.25">
      <c r="A91" s="72" t="s">
        <v>111</v>
      </c>
      <c r="B91" s="74">
        <f>[3]составляющие!$B$9</f>
        <v>0.54</v>
      </c>
      <c r="C91" s="72" t="s">
        <v>16</v>
      </c>
    </row>
    <row r="92" spans="1:3" x14ac:dyDescent="0.25">
      <c r="A92" s="72" t="s">
        <v>108</v>
      </c>
      <c r="B92" s="70">
        <v>2</v>
      </c>
      <c r="C92" s="72" t="s">
        <v>112</v>
      </c>
    </row>
    <row r="93" spans="1:3" x14ac:dyDescent="0.25">
      <c r="A93" s="67" t="str">
        <f>A7</f>
        <v>загальна площа будинку</v>
      </c>
      <c r="B93" s="68">
        <f>B7</f>
        <v>3136</v>
      </c>
      <c r="C93" s="77" t="str">
        <f>C7</f>
        <v>м2</v>
      </c>
    </row>
    <row r="94" spans="1:3" x14ac:dyDescent="0.25">
      <c r="A94" s="72" t="str">
        <f>A88</f>
        <v>вартість 1 (одного) м2</v>
      </c>
      <c r="B94" s="74">
        <f>ROUND(B90*B91*B92/B93/12,4)</f>
        <v>1.9699999999999999E-2</v>
      </c>
      <c r="C94" s="72" t="str">
        <f>C88</f>
        <v>грн./міс.</v>
      </c>
    </row>
    <row r="95" spans="1:3" x14ac:dyDescent="0.25">
      <c r="A95" s="46" t="s">
        <v>113</v>
      </c>
      <c r="B95" s="71">
        <f>ROUND(B100*1.2,4)</f>
        <v>3.1899999999999998E-2</v>
      </c>
      <c r="C95" s="47" t="s">
        <v>67</v>
      </c>
    </row>
    <row r="96" spans="1:3" x14ac:dyDescent="0.25">
      <c r="A96" s="67" t="str">
        <f>A90</f>
        <v>площа підвалів</v>
      </c>
      <c r="B96" s="68">
        <f>B90</f>
        <v>685.8</v>
      </c>
      <c r="C96" s="72" t="s">
        <v>12</v>
      </c>
    </row>
    <row r="97" spans="1:3" x14ac:dyDescent="0.25">
      <c r="A97" s="72" t="str">
        <f>A91</f>
        <v>вартість послуг сторонніх організацій</v>
      </c>
      <c r="B97" s="74">
        <f>[3]составляющие!$B$10</f>
        <v>0.73</v>
      </c>
      <c r="C97" s="72" t="s">
        <v>16</v>
      </c>
    </row>
    <row r="98" spans="1:3" x14ac:dyDescent="0.25">
      <c r="A98" s="72" t="str">
        <f>A92</f>
        <v>кількість операцій</v>
      </c>
      <c r="B98" s="70">
        <v>2</v>
      </c>
      <c r="C98" s="72" t="s">
        <v>112</v>
      </c>
    </row>
    <row r="99" spans="1:3" s="79" customFormat="1" x14ac:dyDescent="0.25">
      <c r="A99" s="69" t="str">
        <f>A7</f>
        <v>загальна площа будинку</v>
      </c>
      <c r="B99" s="78">
        <f t="shared" ref="B99:C99" si="6">B7</f>
        <v>3136</v>
      </c>
      <c r="C99" s="69" t="str">
        <f t="shared" si="6"/>
        <v>м2</v>
      </c>
    </row>
    <row r="100" spans="1:3" s="79" customFormat="1" x14ac:dyDescent="0.25">
      <c r="A100" s="80" t="str">
        <f>A94</f>
        <v>вартість 1 (одного) м2</v>
      </c>
      <c r="B100" s="81">
        <f>ROUND(B96*B97*B98/B99/12,4)</f>
        <v>2.6599999999999999E-2</v>
      </c>
      <c r="C100" s="80" t="str">
        <f>C94</f>
        <v>грн./міс.</v>
      </c>
    </row>
    <row r="101" spans="1:3" s="79" customFormat="1" ht="31.5" x14ac:dyDescent="0.25">
      <c r="A101" s="46" t="s">
        <v>114</v>
      </c>
      <c r="B101" s="71">
        <f>ROUND(B103*1.2,4)</f>
        <v>0.41839999999999999</v>
      </c>
      <c r="C101" s="47" t="s">
        <v>67</v>
      </c>
    </row>
    <row r="102" spans="1:3" s="79" customFormat="1" x14ac:dyDescent="0.25">
      <c r="A102" s="69" t="s">
        <v>115</v>
      </c>
      <c r="B102" s="81">
        <f>[3]світло!$I$41</f>
        <v>0.34870000000000001</v>
      </c>
      <c r="C102" s="80" t="s">
        <v>71</v>
      </c>
    </row>
    <row r="103" spans="1:3" s="79" customFormat="1" x14ac:dyDescent="0.25">
      <c r="A103" s="80" t="str">
        <f>A94</f>
        <v>вартість 1 (одного) м2</v>
      </c>
      <c r="B103" s="81">
        <f>B102</f>
        <v>0.34870000000000001</v>
      </c>
      <c r="C103" s="80" t="str">
        <f>C100</f>
        <v>грн./міс.</v>
      </c>
    </row>
    <row r="104" spans="1:3" s="79" customFormat="1" x14ac:dyDescent="0.25">
      <c r="A104" s="46" t="s">
        <v>116</v>
      </c>
      <c r="B104" s="71">
        <f>ROUND(B107*1.2,4)</f>
        <v>0</v>
      </c>
      <c r="C104" s="47" t="s">
        <v>67</v>
      </c>
    </row>
    <row r="105" spans="1:3" s="79" customFormat="1" x14ac:dyDescent="0.25">
      <c r="A105" s="80" t="s">
        <v>117</v>
      </c>
      <c r="B105" s="78">
        <f>[3]составляющие!$B$17</f>
        <v>0</v>
      </c>
      <c r="C105" s="80" t="s">
        <v>19</v>
      </c>
    </row>
    <row r="106" spans="1:3" s="79" customFormat="1" x14ac:dyDescent="0.25">
      <c r="A106" s="80" t="s">
        <v>118</v>
      </c>
      <c r="B106" s="78">
        <f>[3]составляющие!$B$15</f>
        <v>420690.02000000031</v>
      </c>
      <c r="C106" s="80" t="s">
        <v>12</v>
      </c>
    </row>
    <row r="107" spans="1:3" s="79" customFormat="1" x14ac:dyDescent="0.25">
      <c r="A107" s="80" t="str">
        <f>A103</f>
        <v>вартість 1 (одного) м2</v>
      </c>
      <c r="B107" s="81">
        <f>ROUND(B105/B106/12,4)</f>
        <v>0</v>
      </c>
      <c r="C107" s="80" t="str">
        <f>C100</f>
        <v>грн./міс.</v>
      </c>
    </row>
    <row r="108" spans="1:3" s="79" customFormat="1" x14ac:dyDescent="0.25">
      <c r="A108" s="46" t="s">
        <v>119</v>
      </c>
      <c r="B108" s="71">
        <f>B51+B57+B61+B65+B81+B88+B94+B100+B103+B107</f>
        <v>4.6338000000000008</v>
      </c>
      <c r="C108" s="47" t="s">
        <v>120</v>
      </c>
    </row>
    <row r="109" spans="1:3" s="79" customFormat="1" x14ac:dyDescent="0.25">
      <c r="A109" s="46" t="s">
        <v>121</v>
      </c>
      <c r="B109" s="71">
        <f>B24+B52+B58+B62+B66+B82+B89+B95+B101+B104</f>
        <v>5.5604000000000005</v>
      </c>
      <c r="C109" s="47" t="s">
        <v>120</v>
      </c>
    </row>
    <row r="111" spans="1:3" x14ac:dyDescent="0.25">
      <c r="A111" s="62" t="s">
        <v>122</v>
      </c>
      <c r="B111" s="83"/>
      <c r="C111" s="62" t="s">
        <v>123</v>
      </c>
    </row>
  </sheetData>
  <mergeCells count="2">
    <mergeCell ref="A4:C4"/>
    <mergeCell ref="A5: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10" t="s">
        <v>140</v>
      </c>
      <c r="B1" s="110"/>
      <c r="C1" s="110"/>
      <c r="E1" s="101"/>
      <c r="F1" s="101"/>
      <c r="G1" s="101"/>
      <c r="H1" s="101"/>
    </row>
    <row r="2" spans="1:8" ht="78.75" x14ac:dyDescent="0.25">
      <c r="A2" s="48" t="s">
        <v>36</v>
      </c>
      <c r="B2" s="48" t="s">
        <v>137</v>
      </c>
      <c r="C2" s="48" t="s">
        <v>138</v>
      </c>
      <c r="E2" s="112"/>
      <c r="F2" s="112"/>
      <c r="G2" s="112"/>
      <c r="H2" s="112"/>
    </row>
    <row r="3" spans="1:8" ht="17.25" customHeight="1" x14ac:dyDescent="0.25">
      <c r="A3" s="51" t="str">
        <f>план!A24</f>
        <v>1. Технічне обслуговування внутрішньобудинкових систем</v>
      </c>
      <c r="B3" s="53">
        <f>план!B24</f>
        <v>1.7628999999999999</v>
      </c>
      <c r="C3" s="53">
        <f>управление!D70/управление!C4/управление!O70*1.2</f>
        <v>2.3863271556122454</v>
      </c>
      <c r="E3" s="101"/>
      <c r="F3" s="101"/>
      <c r="G3" s="101"/>
      <c r="H3" s="101"/>
    </row>
    <row r="4" spans="1:8" ht="15.75" x14ac:dyDescent="0.25">
      <c r="A4" s="51" t="str">
        <f>план!A52</f>
        <v>2. Обслуговування димових та вентиляційних каналів</v>
      </c>
      <c r="B4" s="52">
        <f>план!B52</f>
        <v>0.22320000000000001</v>
      </c>
      <c r="C4" s="53">
        <f>управление!E70/управление!C4/управление!O70*1.2</f>
        <v>0.11571428571428571</v>
      </c>
    </row>
    <row r="5" spans="1:8" ht="15.75" x14ac:dyDescent="0.25">
      <c r="A5" s="51" t="str">
        <f>план!A58</f>
        <v>3. Поточний ремонт конструктивних елементів тощо</v>
      </c>
      <c r="B5" s="52">
        <f>план!B58</f>
        <v>1.2244999999999999</v>
      </c>
      <c r="C5" s="53">
        <f>управление!F70/управление!C4/управление!O70*1.2</f>
        <v>3.7541454081632649E-3</v>
      </c>
    </row>
    <row r="6" spans="1:8" ht="15.75" x14ac:dyDescent="0.25">
      <c r="A6" s="51" t="str">
        <f>план!A62</f>
        <v>4. Поточний ремонт внутрішньобудинкових систем</v>
      </c>
      <c r="B6" s="52">
        <f>план!B62</f>
        <v>0.91559999999999997</v>
      </c>
      <c r="C6" s="53">
        <f>управление!G70/управление!C4/управление!O70*1.2</f>
        <v>0.20261415816326531</v>
      </c>
    </row>
    <row r="7" spans="1:8" ht="15.75" x14ac:dyDescent="0.25">
      <c r="A7" s="51" t="str">
        <f>план!A66</f>
        <v>5. Прибирання прибудинкової території</v>
      </c>
      <c r="B7" s="52">
        <f>план!B66</f>
        <v>0.9577</v>
      </c>
      <c r="C7" s="53">
        <f>управление!H70/управление!C4/управление!O70*1.2</f>
        <v>1.621995449617347</v>
      </c>
    </row>
    <row r="8" spans="1:8" ht="47.25" x14ac:dyDescent="0.25">
      <c r="A8" s="51" t="str">
        <f>план!A82</f>
        <v>6. Посипання частини прибудинкової території, призначеної для проходу та проїзду, протиожеледними сумішами</v>
      </c>
      <c r="B8" s="52">
        <f>план!B82</f>
        <v>2.5999999999999999E-3</v>
      </c>
      <c r="C8" s="53">
        <f>управление!I70/управление!C4/управление!O70*1.2</f>
        <v>9.0516846362866761E-4</v>
      </c>
    </row>
    <row r="9" spans="1:8" ht="15.75" x14ac:dyDescent="0.25">
      <c r="A9" s="51" t="str">
        <f>план!A89</f>
        <v>7. Дератизація</v>
      </c>
      <c r="B9" s="52">
        <f>план!B89</f>
        <v>2.3599999999999999E-2</v>
      </c>
      <c r="C9" s="53">
        <f>управление!J70/управление!C4/управление!O70*1.2</f>
        <v>4.8548341836734697E-2</v>
      </c>
    </row>
    <row r="10" spans="1:8" ht="15.75" x14ac:dyDescent="0.25">
      <c r="A10" s="51" t="str">
        <f>план!A95</f>
        <v>8. Дезінсекція</v>
      </c>
      <c r="B10" s="52">
        <f>план!B95</f>
        <v>3.1899999999999998E-2</v>
      </c>
      <c r="C10" s="53">
        <f>управление!K70/управление!C4/управление!O70*1.2</f>
        <v>4.242512755102041E-2</v>
      </c>
    </row>
    <row r="11" spans="1:8" ht="31.5" x14ac:dyDescent="0.25">
      <c r="A11" s="51" t="str">
        <f>план!A101</f>
        <v>9. Придбання електричної енергії для освітлення місць загального користування</v>
      </c>
      <c r="B11" s="52">
        <f>план!B101</f>
        <v>0.41839999999999999</v>
      </c>
      <c r="C11" s="53">
        <f>управление!M70/управление!C4/управление!O70*1.2</f>
        <v>0.57329081632653045</v>
      </c>
    </row>
    <row r="12" spans="1:8" ht="15.75" x14ac:dyDescent="0.25">
      <c r="A12" s="51" t="str">
        <f>план!A104</f>
        <v>10. Винагорода управителю</v>
      </c>
      <c r="B12" s="52">
        <f>план!B104</f>
        <v>0</v>
      </c>
      <c r="C12" s="53">
        <v>0</v>
      </c>
    </row>
    <row r="13" spans="1:8" ht="15.75" x14ac:dyDescent="0.25">
      <c r="A13" s="49" t="s">
        <v>6</v>
      </c>
      <c r="B13" s="50">
        <f>B3+B4+B5+B6+B7+B8+B9+B10+B11+B12</f>
        <v>5.5604000000000005</v>
      </c>
      <c r="C13" s="50">
        <f>C3+C4+C5+C6+C7+C8+C9+C10+C11+C12</f>
        <v>4.9955746486932195</v>
      </c>
    </row>
    <row r="14" spans="1:8" ht="15.75" x14ac:dyDescent="0.25">
      <c r="A14" s="55"/>
      <c r="B14" s="55"/>
      <c r="C14" s="54"/>
    </row>
    <row r="15" spans="1:8" ht="15.75" x14ac:dyDescent="0.25">
      <c r="A15" s="56" t="s">
        <v>37</v>
      </c>
      <c r="B15" s="56"/>
      <c r="C15" s="57">
        <f>[1]зведена!$B$124</f>
        <v>3140.5</v>
      </c>
    </row>
    <row r="16" spans="1:8" ht="15.75" x14ac:dyDescent="0.25">
      <c r="A16" s="56" t="s">
        <v>38</v>
      </c>
      <c r="B16" s="56"/>
      <c r="C16" s="57">
        <f>C15*C13*управление!O70</f>
        <v>188263.22621065268</v>
      </c>
    </row>
    <row r="17" spans="1:4" ht="15.75" x14ac:dyDescent="0.25">
      <c r="A17" s="58" t="s">
        <v>39</v>
      </c>
      <c r="B17" s="45"/>
      <c r="C17" s="59">
        <f>управление!C69*1.2</f>
        <v>196072.32000000001</v>
      </c>
      <c r="D17" s="45"/>
    </row>
    <row r="18" spans="1:4" ht="15.75" x14ac:dyDescent="0.25">
      <c r="A18" s="58" t="s">
        <v>40</v>
      </c>
      <c r="B18" s="45"/>
      <c r="C18" s="59">
        <f>управление!C68*1.2</f>
        <v>209832.34999999995</v>
      </c>
      <c r="D18" s="45"/>
    </row>
    <row r="19" spans="1:4" ht="15.75" x14ac:dyDescent="0.25">
      <c r="A19" s="111"/>
      <c r="B19" s="111"/>
      <c r="C19" s="59"/>
      <c r="D19" s="45"/>
    </row>
    <row r="20" spans="1:4" ht="15.75" x14ac:dyDescent="0.25">
      <c r="A20" s="58"/>
      <c r="C20" s="59"/>
      <c r="D20" s="45"/>
    </row>
    <row r="21" spans="1:4" ht="15.75" x14ac:dyDescent="0.25">
      <c r="D21" s="45"/>
    </row>
  </sheetData>
  <mergeCells count="3">
    <mergeCell ref="A1:C1"/>
    <mergeCell ref="A19:B19"/>
    <mergeCell ref="E2:H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управление</vt:lpstr>
      <vt:lpstr>розрахунок</vt:lpstr>
      <vt:lpstr>план</vt:lpstr>
      <vt:lpstr>2025</vt:lpstr>
      <vt:lpstr>управление!Заголовки_для_печати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2026-04-03T10:30:03Z</dcterms:modified>
</cp:coreProperties>
</file>