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управление" sheetId="2" r:id="rId1"/>
    <sheet name="расчет" sheetId="10" r:id="rId2"/>
    <sheet name="план" sheetId="11" r:id="rId3"/>
    <sheet name="2023" sheetId="12" r:id="rId4"/>
  </sheets>
  <externalReferences>
    <externalReference r:id="rId5"/>
    <externalReference r:id="rId6"/>
    <externalReference r:id="rId7"/>
  </externalReferences>
  <definedNames>
    <definedName name="_GoBack" localSheetId="0">управление!#REF!</definedName>
    <definedName name="_xlnm.Print_Titles" localSheetId="0">управление!$3:$3</definedName>
  </definedNames>
  <calcPr calcId="124519"/>
</workbook>
</file>

<file path=xl/calcChain.xml><?xml version="1.0" encoding="utf-8"?>
<calcChain xmlns="http://schemas.openxmlformats.org/spreadsheetml/2006/main">
  <c r="C4" i="2"/>
  <c r="C84"/>
  <c r="C83"/>
  <c r="M80"/>
  <c r="M75"/>
  <c r="M70"/>
  <c r="M65"/>
  <c r="M60"/>
  <c r="M55"/>
  <c r="M50"/>
  <c r="Z44" i="10"/>
  <c r="Z43"/>
  <c r="Z40"/>
  <c r="Z39"/>
  <c r="Z38"/>
  <c r="Z37"/>
  <c r="Z25"/>
  <c r="Z24"/>
  <c r="Z22"/>
  <c r="Z21"/>
  <c r="X44"/>
  <c r="X43"/>
  <c r="X40"/>
  <c r="X39"/>
  <c r="X38"/>
  <c r="X37"/>
  <c r="X25"/>
  <c r="X24"/>
  <c r="X22"/>
  <c r="X21"/>
  <c r="V44"/>
  <c r="V43"/>
  <c r="V40"/>
  <c r="V39"/>
  <c r="V38"/>
  <c r="V37"/>
  <c r="V25"/>
  <c r="V24"/>
  <c r="V22"/>
  <c r="V21"/>
  <c r="T44"/>
  <c r="T43"/>
  <c r="T40"/>
  <c r="T39"/>
  <c r="T38"/>
  <c r="T37"/>
  <c r="T25"/>
  <c r="T24"/>
  <c r="T22"/>
  <c r="T21"/>
  <c r="R44"/>
  <c r="R43"/>
  <c r="R40"/>
  <c r="R39"/>
  <c r="R38"/>
  <c r="R37"/>
  <c r="R25"/>
  <c r="R24"/>
  <c r="R22"/>
  <c r="R21"/>
  <c r="P44"/>
  <c r="P43"/>
  <c r="P40"/>
  <c r="P39"/>
  <c r="P38"/>
  <c r="P37"/>
  <c r="P25"/>
  <c r="P24"/>
  <c r="P22"/>
  <c r="P21"/>
  <c r="N44"/>
  <c r="N43"/>
  <c r="N40"/>
  <c r="N39"/>
  <c r="N38"/>
  <c r="N37"/>
  <c r="N25"/>
  <c r="N24"/>
  <c r="N22"/>
  <c r="N21"/>
  <c r="L44"/>
  <c r="L43"/>
  <c r="L40"/>
  <c r="L39"/>
  <c r="L38"/>
  <c r="L37"/>
  <c r="L25"/>
  <c r="L24"/>
  <c r="L22"/>
  <c r="L21"/>
  <c r="J44"/>
  <c r="J43"/>
  <c r="J40"/>
  <c r="J39"/>
  <c r="J38"/>
  <c r="J37"/>
  <c r="J25"/>
  <c r="J24"/>
  <c r="J22"/>
  <c r="J21"/>
  <c r="H44"/>
  <c r="H43"/>
  <c r="H40"/>
  <c r="H39"/>
  <c r="H38"/>
  <c r="H37"/>
  <c r="H25"/>
  <c r="H24"/>
  <c r="H22"/>
  <c r="H21"/>
  <c r="F44"/>
  <c r="F43"/>
  <c r="F40"/>
  <c r="F39"/>
  <c r="F38"/>
  <c r="F37"/>
  <c r="F25"/>
  <c r="F24"/>
  <c r="F22"/>
  <c r="F21"/>
  <c r="D44"/>
  <c r="D43"/>
  <c r="D40"/>
  <c r="D39"/>
  <c r="D38"/>
  <c r="D37"/>
  <c r="D25"/>
  <c r="D24"/>
  <c r="D22"/>
  <c r="D21"/>
  <c r="C9" i="12"/>
  <c r="D15"/>
  <c r="D20"/>
  <c r="D21"/>
  <c r="Z42" i="10"/>
  <c r="X42"/>
  <c r="V42"/>
  <c r="T42"/>
  <c r="R42"/>
  <c r="P42"/>
  <c r="N42"/>
  <c r="B172" i="11"/>
  <c r="B167"/>
  <c r="C14" i="12" s="1"/>
  <c r="C13" s="1"/>
  <c r="B162" i="11"/>
  <c r="B159"/>
  <c r="B163"/>
  <c r="C156"/>
  <c r="B156"/>
  <c r="B153"/>
  <c r="B157"/>
  <c r="C149"/>
  <c r="B149"/>
  <c r="B150" s="1"/>
  <c r="A149"/>
  <c r="C144"/>
  <c r="B144"/>
  <c r="A144"/>
  <c r="B142"/>
  <c r="B145" s="1"/>
  <c r="A142"/>
  <c r="C139"/>
  <c r="B139"/>
  <c r="B140" s="1"/>
  <c r="A139"/>
  <c r="B135"/>
  <c r="C129"/>
  <c r="B129"/>
  <c r="A129"/>
  <c r="C125"/>
  <c r="B125"/>
  <c r="B130" s="1"/>
  <c r="A125"/>
  <c r="C122"/>
  <c r="B122"/>
  <c r="A122"/>
  <c r="C118"/>
  <c r="B118"/>
  <c r="B123" s="1"/>
  <c r="A118"/>
  <c r="C115"/>
  <c r="B115"/>
  <c r="A115"/>
  <c r="C111"/>
  <c r="B111"/>
  <c r="B116" s="1"/>
  <c r="A111"/>
  <c r="C108"/>
  <c r="B108"/>
  <c r="A108"/>
  <c r="B106"/>
  <c r="B109"/>
  <c r="A106"/>
  <c r="C103"/>
  <c r="B103"/>
  <c r="A103"/>
  <c r="C99"/>
  <c r="B99"/>
  <c r="B104" s="1"/>
  <c r="A99"/>
  <c r="C96"/>
  <c r="B96"/>
  <c r="A96"/>
  <c r="B93"/>
  <c r="B97" s="1"/>
  <c r="C87"/>
  <c r="B87"/>
  <c r="A87"/>
  <c r="C85"/>
  <c r="B85"/>
  <c r="B88" s="1"/>
  <c r="B80" s="1"/>
  <c r="A85"/>
  <c r="C77"/>
  <c r="B77"/>
  <c r="A77"/>
  <c r="C74"/>
  <c r="B74"/>
  <c r="B76" s="1"/>
  <c r="B78" s="1"/>
  <c r="B73" s="1"/>
  <c r="A74"/>
  <c r="C71"/>
  <c r="B71"/>
  <c r="A71"/>
  <c r="C67"/>
  <c r="B67"/>
  <c r="B70" s="1"/>
  <c r="B72" s="1"/>
  <c r="B66" s="1"/>
  <c r="A67"/>
  <c r="C64"/>
  <c r="B64"/>
  <c r="A64"/>
  <c r="C60"/>
  <c r="B60"/>
  <c r="B63" s="1"/>
  <c r="B65" s="1"/>
  <c r="B59" s="1"/>
  <c r="A60"/>
  <c r="C57"/>
  <c r="B57"/>
  <c r="A57"/>
  <c r="C38"/>
  <c r="B38"/>
  <c r="B48" s="1"/>
  <c r="B50" s="1"/>
  <c r="A38"/>
  <c r="B37"/>
  <c r="B47" s="1"/>
  <c r="A37"/>
  <c r="B35"/>
  <c r="B34"/>
  <c r="C32"/>
  <c r="B32"/>
  <c r="A32"/>
  <c r="C20"/>
  <c r="B20"/>
  <c r="B26"/>
  <c r="A20"/>
  <c r="N4" i="2"/>
  <c r="B53" i="10"/>
  <c r="B17"/>
  <c r="B16"/>
  <c r="B15"/>
  <c r="B14"/>
  <c r="B13"/>
  <c r="B12"/>
  <c r="B11"/>
  <c r="B10"/>
  <c r="B9"/>
  <c r="B8"/>
  <c r="B7"/>
  <c r="G36" i="2" s="1"/>
  <c r="G85" s="1"/>
  <c r="B6" i="10"/>
  <c r="B5"/>
  <c r="B4"/>
  <c r="B3"/>
  <c r="B2"/>
  <c r="A1"/>
  <c r="F42"/>
  <c r="I4" i="2"/>
  <c r="D18" i="12"/>
  <c r="B35" i="10"/>
  <c r="B45" s="1"/>
  <c r="B47" s="1"/>
  <c r="B55"/>
  <c r="B36"/>
  <c r="B46" s="1"/>
  <c r="C32"/>
  <c r="B32"/>
  <c r="C20"/>
  <c r="B20"/>
  <c r="B26" s="1"/>
  <c r="I85" i="2"/>
  <c r="M45"/>
  <c r="M39"/>
  <c r="I39"/>
  <c r="E38"/>
  <c r="D38"/>
  <c r="E37"/>
  <c r="D37"/>
  <c r="M36"/>
  <c r="M30"/>
  <c r="I30"/>
  <c r="N85"/>
  <c r="L85"/>
  <c r="M21"/>
  <c r="I21"/>
  <c r="M18"/>
  <c r="M12"/>
  <c r="I12"/>
  <c r="E10"/>
  <c r="M9"/>
  <c r="J85"/>
  <c r="L42" i="10"/>
  <c r="J42"/>
  <c r="H42"/>
  <c r="D42"/>
  <c r="M27" i="2"/>
  <c r="M85"/>
  <c r="A55" i="10"/>
  <c r="A36"/>
  <c r="A35"/>
  <c r="A32"/>
  <c r="A20"/>
  <c r="D17"/>
  <c r="F17" s="1"/>
  <c r="H17" s="1"/>
  <c r="J17" s="1"/>
  <c r="L17" s="1"/>
  <c r="N17" s="1"/>
  <c r="P17" s="1"/>
  <c r="R17" s="1"/>
  <c r="T17" s="1"/>
  <c r="V17" s="1"/>
  <c r="X17" s="1"/>
  <c r="Z17" s="1"/>
  <c r="D16"/>
  <c r="D20" s="1"/>
  <c r="D26" s="1"/>
  <c r="D15"/>
  <c r="F15" s="1"/>
  <c r="H15" s="1"/>
  <c r="J15" s="1"/>
  <c r="L15" s="1"/>
  <c r="N15" s="1"/>
  <c r="P15" s="1"/>
  <c r="R15" s="1"/>
  <c r="T15" s="1"/>
  <c r="V15" s="1"/>
  <c r="X15" s="1"/>
  <c r="Z15" s="1"/>
  <c r="D14"/>
  <c r="F14" s="1"/>
  <c r="H14" s="1"/>
  <c r="J14" s="1"/>
  <c r="L14" s="1"/>
  <c r="N14" s="1"/>
  <c r="P14" s="1"/>
  <c r="R14" s="1"/>
  <c r="T14" s="1"/>
  <c r="V14" s="1"/>
  <c r="X14" s="1"/>
  <c r="Z14" s="1"/>
  <c r="D13"/>
  <c r="F13" s="1"/>
  <c r="H13" s="1"/>
  <c r="J13" s="1"/>
  <c r="L13" s="1"/>
  <c r="N13" s="1"/>
  <c r="P13" s="1"/>
  <c r="R13" s="1"/>
  <c r="T13" s="1"/>
  <c r="V13" s="1"/>
  <c r="X13" s="1"/>
  <c r="Z13" s="1"/>
  <c r="D12"/>
  <c r="F12" s="1"/>
  <c r="H12" s="1"/>
  <c r="J12" s="1"/>
  <c r="L12" s="1"/>
  <c r="N12" s="1"/>
  <c r="P12" s="1"/>
  <c r="R12" s="1"/>
  <c r="T12" s="1"/>
  <c r="V12" s="1"/>
  <c r="X12" s="1"/>
  <c r="Z12" s="1"/>
  <c r="D11"/>
  <c r="F11"/>
  <c r="H11" s="1"/>
  <c r="J11" s="1"/>
  <c r="L11" s="1"/>
  <c r="N11" s="1"/>
  <c r="P11" s="1"/>
  <c r="R11" s="1"/>
  <c r="T11" s="1"/>
  <c r="V11" s="1"/>
  <c r="X11" s="1"/>
  <c r="Z11" s="1"/>
  <c r="D10"/>
  <c r="F10" s="1"/>
  <c r="H10" s="1"/>
  <c r="J10" s="1"/>
  <c r="L10" s="1"/>
  <c r="N10" s="1"/>
  <c r="P10" s="1"/>
  <c r="R10" s="1"/>
  <c r="T10" s="1"/>
  <c r="V10" s="1"/>
  <c r="X10" s="1"/>
  <c r="Z10" s="1"/>
  <c r="D9"/>
  <c r="F9" s="1"/>
  <c r="H9" s="1"/>
  <c r="J9" s="1"/>
  <c r="L9" s="1"/>
  <c r="N9" s="1"/>
  <c r="P9" s="1"/>
  <c r="R9" s="1"/>
  <c r="T9" s="1"/>
  <c r="V9" s="1"/>
  <c r="X9" s="1"/>
  <c r="Z9" s="1"/>
  <c r="D8"/>
  <c r="F8" s="1"/>
  <c r="H8" s="1"/>
  <c r="J8" s="1"/>
  <c r="L8" s="1"/>
  <c r="N8" s="1"/>
  <c r="P8" s="1"/>
  <c r="R8" s="1"/>
  <c r="T8" s="1"/>
  <c r="V8" s="1"/>
  <c r="X8" s="1"/>
  <c r="Z8" s="1"/>
  <c r="D7"/>
  <c r="F7" s="1"/>
  <c r="H7" s="1"/>
  <c r="J7" s="1"/>
  <c r="L7" s="1"/>
  <c r="N7" s="1"/>
  <c r="P7" s="1"/>
  <c r="R7" s="1"/>
  <c r="T7" s="1"/>
  <c r="V7" s="1"/>
  <c r="X7" s="1"/>
  <c r="Z7" s="1"/>
  <c r="D6"/>
  <c r="D35" s="1"/>
  <c r="D45" s="1"/>
  <c r="D5"/>
  <c r="F5" s="1"/>
  <c r="H5" s="1"/>
  <c r="J5" s="1"/>
  <c r="L5" s="1"/>
  <c r="N5" s="1"/>
  <c r="P5" s="1"/>
  <c r="R5" s="1"/>
  <c r="T5" s="1"/>
  <c r="V5" s="1"/>
  <c r="X5" s="1"/>
  <c r="Z5" s="1"/>
  <c r="D3"/>
  <c r="F3" s="1"/>
  <c r="H3" s="1"/>
  <c r="J3" s="1"/>
  <c r="L3" s="1"/>
  <c r="N3" s="1"/>
  <c r="P3" s="1"/>
  <c r="R3" s="1"/>
  <c r="T3" s="1"/>
  <c r="V3" s="1"/>
  <c r="X3" s="1"/>
  <c r="Z3" s="1"/>
  <c r="D2"/>
  <c r="F2"/>
  <c r="F36" s="1"/>
  <c r="F46" s="1"/>
  <c r="F48" s="1"/>
  <c r="D36"/>
  <c r="D46"/>
  <c r="D48" s="1"/>
  <c r="D32"/>
  <c r="F6"/>
  <c r="F35" s="1"/>
  <c r="F45" s="1"/>
  <c r="D55"/>
  <c r="H2"/>
  <c r="H55" s="1"/>
  <c r="B30" i="11"/>
  <c r="B27"/>
  <c r="B28"/>
  <c r="O84" i="2"/>
  <c r="B27" i="10" l="1"/>
  <c r="B30"/>
  <c r="H36"/>
  <c r="H46" s="1"/>
  <c r="H27" i="2"/>
  <c r="H85" s="1"/>
  <c r="D8" i="12" s="1"/>
  <c r="D7"/>
  <c r="D10"/>
  <c r="C6"/>
  <c r="F4" i="2"/>
  <c r="C7" i="12"/>
  <c r="G4" i="2"/>
  <c r="C8" i="12"/>
  <c r="H4" i="2"/>
  <c r="C10" i="12"/>
  <c r="J4" i="2"/>
  <c r="B49" i="11"/>
  <c r="B51" s="1"/>
  <c r="B54"/>
  <c r="B91"/>
  <c r="B169"/>
  <c r="H32" i="10"/>
  <c r="J2"/>
  <c r="B29" i="11"/>
  <c r="B31" s="1"/>
  <c r="B33" s="1"/>
  <c r="B19" s="1"/>
  <c r="F55" i="10"/>
  <c r="H6"/>
  <c r="H35" s="1"/>
  <c r="H45" s="1"/>
  <c r="H47" s="1"/>
  <c r="H52"/>
  <c r="H48"/>
  <c r="F47"/>
  <c r="F52"/>
  <c r="D27"/>
  <c r="D30"/>
  <c r="B48"/>
  <c r="B52"/>
  <c r="F49"/>
  <c r="F51" s="1"/>
  <c r="D47"/>
  <c r="D52"/>
  <c r="H49"/>
  <c r="B49"/>
  <c r="D49"/>
  <c r="D14" i="12"/>
  <c r="D13" s="1"/>
  <c r="F75" i="2"/>
  <c r="F27"/>
  <c r="J55" i="10"/>
  <c r="F32"/>
  <c r="J6"/>
  <c r="F16"/>
  <c r="D9" i="12"/>
  <c r="D12"/>
  <c r="D11" s="1"/>
  <c r="F50" i="10"/>
  <c r="H50"/>
  <c r="H51"/>
  <c r="H54" s="1"/>
  <c r="D51"/>
  <c r="D50"/>
  <c r="D54" s="1"/>
  <c r="B29" l="1"/>
  <c r="B28"/>
  <c r="B31" s="1"/>
  <c r="B33" s="1"/>
  <c r="B19" s="1"/>
  <c r="F85" i="2"/>
  <c r="D6" i="12" s="1"/>
  <c r="F54" i="10"/>
  <c r="D4" i="2"/>
  <c r="C4" i="12"/>
  <c r="C12"/>
  <c r="C11" s="1"/>
  <c r="L4" i="2"/>
  <c r="B165" i="11"/>
  <c r="J32" i="10"/>
  <c r="L2"/>
  <c r="J36"/>
  <c r="J46" s="1"/>
  <c r="J48" s="1"/>
  <c r="B52" i="11"/>
  <c r="B53"/>
  <c r="B56" s="1"/>
  <c r="B58" s="1"/>
  <c r="B36" s="1"/>
  <c r="F20" i="10"/>
  <c r="F26" s="1"/>
  <c r="H16"/>
  <c r="D28"/>
  <c r="D29"/>
  <c r="J35"/>
  <c r="J45" s="1"/>
  <c r="L6"/>
  <c r="B50"/>
  <c r="B51"/>
  <c r="B54" s="1"/>
  <c r="B56" s="1"/>
  <c r="B34" s="1"/>
  <c r="E9" i="2"/>
  <c r="D56" i="10"/>
  <c r="D34" s="1"/>
  <c r="E27" i="2"/>
  <c r="H56" i="10"/>
  <c r="H34" s="1"/>
  <c r="F56"/>
  <c r="F34" s="1"/>
  <c r="E18" i="2"/>
  <c r="D31" i="10" l="1"/>
  <c r="C5" i="12"/>
  <c r="E4" i="2"/>
  <c r="B89" i="11"/>
  <c r="B173" s="1"/>
  <c r="L36" i="10"/>
  <c r="L46" s="1"/>
  <c r="L48" s="1"/>
  <c r="L32"/>
  <c r="N2"/>
  <c r="L55"/>
  <c r="M4" i="2"/>
  <c r="C3" i="12"/>
  <c r="C16" s="1"/>
  <c r="J47" i="10"/>
  <c r="J49" s="1"/>
  <c r="J52"/>
  <c r="D33"/>
  <c r="D19" s="1"/>
  <c r="D9" i="2"/>
  <c r="F30" i="10"/>
  <c r="F27"/>
  <c r="N6"/>
  <c r="L35"/>
  <c r="L45" s="1"/>
  <c r="H20"/>
  <c r="H26" s="1"/>
  <c r="J16"/>
  <c r="E21" i="2"/>
  <c r="E30"/>
  <c r="E12"/>
  <c r="N55" i="10" l="1"/>
  <c r="N36"/>
  <c r="N46" s="1"/>
  <c r="N48" s="1"/>
  <c r="P2"/>
  <c r="N32"/>
  <c r="K4" i="2"/>
  <c r="O4" s="1"/>
  <c r="E5" s="1"/>
  <c r="J20" i="10"/>
  <c r="J26" s="1"/>
  <c r="L16"/>
  <c r="L47"/>
  <c r="L49" s="1"/>
  <c r="L52"/>
  <c r="J50"/>
  <c r="J51"/>
  <c r="H27"/>
  <c r="H30"/>
  <c r="P6"/>
  <c r="N35"/>
  <c r="N45" s="1"/>
  <c r="F28"/>
  <c r="F29"/>
  <c r="K9" i="2"/>
  <c r="D12"/>
  <c r="C9"/>
  <c r="E84" l="1"/>
  <c r="E83"/>
  <c r="E44"/>
  <c r="E63"/>
  <c r="E53"/>
  <c r="E43"/>
  <c r="E58"/>
  <c r="E25"/>
  <c r="E26"/>
  <c r="E69"/>
  <c r="E59"/>
  <c r="E78"/>
  <c r="E35"/>
  <c r="E68"/>
  <c r="E8"/>
  <c r="E74"/>
  <c r="E48"/>
  <c r="E79"/>
  <c r="E7"/>
  <c r="E16"/>
  <c r="E17"/>
  <c r="E64"/>
  <c r="E73"/>
  <c r="E54"/>
  <c r="E49"/>
  <c r="E34"/>
  <c r="P32" i="10"/>
  <c r="R2"/>
  <c r="P36"/>
  <c r="P46" s="1"/>
  <c r="P48" s="1"/>
  <c r="P55"/>
  <c r="I5" i="2"/>
  <c r="N5"/>
  <c r="J5"/>
  <c r="H5"/>
  <c r="F5"/>
  <c r="G5"/>
  <c r="D5"/>
  <c r="L5"/>
  <c r="M5"/>
  <c r="O9"/>
  <c r="C14"/>
  <c r="C12"/>
  <c r="K12"/>
  <c r="P35" i="10"/>
  <c r="P45" s="1"/>
  <c r="R6"/>
  <c r="H28"/>
  <c r="H29"/>
  <c r="L51"/>
  <c r="L50"/>
  <c r="J27"/>
  <c r="J30"/>
  <c r="N47"/>
  <c r="N49" s="1"/>
  <c r="N52"/>
  <c r="L20"/>
  <c r="L26" s="1"/>
  <c r="N16"/>
  <c r="F31"/>
  <c r="J54"/>
  <c r="D83" i="2" l="1"/>
  <c r="D84"/>
  <c r="F83"/>
  <c r="F84"/>
  <c r="J83"/>
  <c r="J84"/>
  <c r="I83"/>
  <c r="I84"/>
  <c r="L83"/>
  <c r="M83" s="1"/>
  <c r="L84"/>
  <c r="M84" s="1"/>
  <c r="G83"/>
  <c r="G84"/>
  <c r="H83"/>
  <c r="H84"/>
  <c r="N83"/>
  <c r="N84"/>
  <c r="L8"/>
  <c r="L16"/>
  <c r="L68"/>
  <c r="L69"/>
  <c r="L71" s="1"/>
  <c r="L78"/>
  <c r="L74"/>
  <c r="L76" s="1"/>
  <c r="L64"/>
  <c r="L66" s="1"/>
  <c r="L73"/>
  <c r="L54"/>
  <c r="L56" s="1"/>
  <c r="L59"/>
  <c r="L61" s="1"/>
  <c r="L49"/>
  <c r="L51" s="1"/>
  <c r="L26"/>
  <c r="L7"/>
  <c r="L34"/>
  <c r="L17"/>
  <c r="L63"/>
  <c r="L43"/>
  <c r="L53"/>
  <c r="L79"/>
  <c r="L35"/>
  <c r="L44"/>
  <c r="L46" s="1"/>
  <c r="L58"/>
  <c r="L48"/>
  <c r="L25"/>
  <c r="G25"/>
  <c r="G48"/>
  <c r="G49"/>
  <c r="G51" s="1"/>
  <c r="G64"/>
  <c r="G66" s="1"/>
  <c r="G54"/>
  <c r="G56" s="1"/>
  <c r="G69"/>
  <c r="G71" s="1"/>
  <c r="G35"/>
  <c r="G26"/>
  <c r="G78"/>
  <c r="G53"/>
  <c r="G68"/>
  <c r="G59"/>
  <c r="G61" s="1"/>
  <c r="G34"/>
  <c r="G43"/>
  <c r="G8"/>
  <c r="G7"/>
  <c r="G63"/>
  <c r="G58"/>
  <c r="G79"/>
  <c r="G44"/>
  <c r="G46" s="1"/>
  <c r="G74"/>
  <c r="G76" s="1"/>
  <c r="G73"/>
  <c r="G16"/>
  <c r="G17"/>
  <c r="H53"/>
  <c r="H35"/>
  <c r="H64"/>
  <c r="H66" s="1"/>
  <c r="H49"/>
  <c r="H51" s="1"/>
  <c r="H25"/>
  <c r="H58"/>
  <c r="H34"/>
  <c r="H16"/>
  <c r="H44"/>
  <c r="H46" s="1"/>
  <c r="H7"/>
  <c r="H26"/>
  <c r="H68"/>
  <c r="H8"/>
  <c r="H79"/>
  <c r="H69"/>
  <c r="H71" s="1"/>
  <c r="H73"/>
  <c r="H59"/>
  <c r="H61" s="1"/>
  <c r="H74"/>
  <c r="H76" s="1"/>
  <c r="H63"/>
  <c r="H43"/>
  <c r="H17"/>
  <c r="H54"/>
  <c r="H56" s="1"/>
  <c r="H78"/>
  <c r="H48"/>
  <c r="N78"/>
  <c r="N34"/>
  <c r="N25"/>
  <c r="N73"/>
  <c r="N17"/>
  <c r="N74"/>
  <c r="N76" s="1"/>
  <c r="N64"/>
  <c r="N66" s="1"/>
  <c r="N58"/>
  <c r="N35"/>
  <c r="N26"/>
  <c r="N59"/>
  <c r="N61" s="1"/>
  <c r="N63"/>
  <c r="N79"/>
  <c r="N69"/>
  <c r="N71" s="1"/>
  <c r="N54"/>
  <c r="N56" s="1"/>
  <c r="N43"/>
  <c r="N68"/>
  <c r="N8"/>
  <c r="N53"/>
  <c r="N16"/>
  <c r="N7"/>
  <c r="N49"/>
  <c r="N51" s="1"/>
  <c r="N44"/>
  <c r="N46" s="1"/>
  <c r="N48"/>
  <c r="E22"/>
  <c r="E23"/>
  <c r="E14"/>
  <c r="E13"/>
  <c r="E32"/>
  <c r="E31"/>
  <c r="M17"/>
  <c r="M22" s="1"/>
  <c r="M35"/>
  <c r="M40" s="1"/>
  <c r="M63"/>
  <c r="M44"/>
  <c r="M46" s="1"/>
  <c r="M64"/>
  <c r="M66" s="1"/>
  <c r="M26"/>
  <c r="M43"/>
  <c r="M34"/>
  <c r="M7"/>
  <c r="M49"/>
  <c r="M51" s="1"/>
  <c r="M53"/>
  <c r="M74"/>
  <c r="M76" s="1"/>
  <c r="M59"/>
  <c r="M61" s="1"/>
  <c r="M54"/>
  <c r="M56" s="1"/>
  <c r="M25"/>
  <c r="M8"/>
  <c r="M13" s="1"/>
  <c r="M73"/>
  <c r="M16"/>
  <c r="M79"/>
  <c r="M81" s="1"/>
  <c r="M48"/>
  <c r="M78"/>
  <c r="M68"/>
  <c r="M58"/>
  <c r="M69"/>
  <c r="M71" s="1"/>
  <c r="D34"/>
  <c r="D17"/>
  <c r="D79"/>
  <c r="D49"/>
  <c r="D63"/>
  <c r="D8"/>
  <c r="D59"/>
  <c r="D54"/>
  <c r="D53"/>
  <c r="D58"/>
  <c r="D73"/>
  <c r="D78"/>
  <c r="D74"/>
  <c r="D69"/>
  <c r="D68"/>
  <c r="D16"/>
  <c r="D35"/>
  <c r="D26"/>
  <c r="D44"/>
  <c r="D48"/>
  <c r="D43"/>
  <c r="K5"/>
  <c r="D64"/>
  <c r="D7"/>
  <c r="D25"/>
  <c r="F43"/>
  <c r="F35"/>
  <c r="F69"/>
  <c r="F71" s="1"/>
  <c r="F74"/>
  <c r="F76" s="1"/>
  <c r="F8"/>
  <c r="F78"/>
  <c r="F73"/>
  <c r="F68"/>
  <c r="F16"/>
  <c r="F59"/>
  <c r="F61" s="1"/>
  <c r="F64"/>
  <c r="F66" s="1"/>
  <c r="F53"/>
  <c r="F58"/>
  <c r="F79"/>
  <c r="F25"/>
  <c r="F54"/>
  <c r="F56" s="1"/>
  <c r="F34"/>
  <c r="F49"/>
  <c r="F51" s="1"/>
  <c r="F26"/>
  <c r="F48"/>
  <c r="F44"/>
  <c r="F46" s="1"/>
  <c r="F7"/>
  <c r="F17"/>
  <c r="F63"/>
  <c r="J16"/>
  <c r="J79"/>
  <c r="J35"/>
  <c r="J53"/>
  <c r="J59"/>
  <c r="J61" s="1"/>
  <c r="J78"/>
  <c r="J8"/>
  <c r="J17"/>
  <c r="J73"/>
  <c r="J49"/>
  <c r="J51" s="1"/>
  <c r="J68"/>
  <c r="J26"/>
  <c r="J63"/>
  <c r="J64"/>
  <c r="J66" s="1"/>
  <c r="J54"/>
  <c r="J56" s="1"/>
  <c r="J74"/>
  <c r="J76" s="1"/>
  <c r="J43"/>
  <c r="J25"/>
  <c r="J69"/>
  <c r="J71" s="1"/>
  <c r="J7"/>
  <c r="J44"/>
  <c r="J46" s="1"/>
  <c r="J34"/>
  <c r="J58"/>
  <c r="J48"/>
  <c r="I8"/>
  <c r="I69"/>
  <c r="I71" s="1"/>
  <c r="I68"/>
  <c r="I74"/>
  <c r="I76" s="1"/>
  <c r="I17"/>
  <c r="I79"/>
  <c r="I25"/>
  <c r="I78"/>
  <c r="I16"/>
  <c r="I59"/>
  <c r="I61" s="1"/>
  <c r="I63"/>
  <c r="I43"/>
  <c r="I44"/>
  <c r="I46" s="1"/>
  <c r="I53"/>
  <c r="I58"/>
  <c r="I54"/>
  <c r="I56" s="1"/>
  <c r="I26"/>
  <c r="I49"/>
  <c r="I51" s="1"/>
  <c r="I7"/>
  <c r="I48"/>
  <c r="I34"/>
  <c r="I73"/>
  <c r="I64"/>
  <c r="I66" s="1"/>
  <c r="I35"/>
  <c r="R36" i="10"/>
  <c r="R46" s="1"/>
  <c r="R48" s="1"/>
  <c r="R55"/>
  <c r="R32"/>
  <c r="T2"/>
  <c r="L54"/>
  <c r="L56" s="1"/>
  <c r="L34" s="1"/>
  <c r="H31"/>
  <c r="E45" i="2"/>
  <c r="H33" i="10"/>
  <c r="H19" s="1"/>
  <c r="D27" i="2"/>
  <c r="J56" i="10"/>
  <c r="J34" s="1"/>
  <c r="E36" i="2"/>
  <c r="L27" i="10"/>
  <c r="L30"/>
  <c r="N51"/>
  <c r="N50"/>
  <c r="N54" s="1"/>
  <c r="R35"/>
  <c r="R45" s="1"/>
  <c r="T6"/>
  <c r="F33"/>
  <c r="F19" s="1"/>
  <c r="D18" i="2"/>
  <c r="P16" i="10"/>
  <c r="N20"/>
  <c r="N26" s="1"/>
  <c r="J28"/>
  <c r="J29"/>
  <c r="P47"/>
  <c r="P49" s="1"/>
  <c r="P52"/>
  <c r="C13" i="2"/>
  <c r="O13"/>
  <c r="K83" l="1"/>
  <c r="K84"/>
  <c r="J31" i="10"/>
  <c r="I31" i="2"/>
  <c r="I32"/>
  <c r="I23"/>
  <c r="I22"/>
  <c r="I13"/>
  <c r="I14"/>
  <c r="J14"/>
  <c r="J13"/>
  <c r="J41"/>
  <c r="J40"/>
  <c r="F23"/>
  <c r="F22"/>
  <c r="F31"/>
  <c r="F32"/>
  <c r="F13"/>
  <c r="F14"/>
  <c r="K48"/>
  <c r="K17"/>
  <c r="K58"/>
  <c r="K79"/>
  <c r="K59"/>
  <c r="K68"/>
  <c r="K8"/>
  <c r="K7"/>
  <c r="K64"/>
  <c r="K44"/>
  <c r="K54"/>
  <c r="K53"/>
  <c r="K43"/>
  <c r="K69"/>
  <c r="K63"/>
  <c r="K26"/>
  <c r="K16"/>
  <c r="K25"/>
  <c r="K49"/>
  <c r="K35"/>
  <c r="K34"/>
  <c r="K78"/>
  <c r="K73"/>
  <c r="K74"/>
  <c r="D14"/>
  <c r="D13"/>
  <c r="M31"/>
  <c r="M32"/>
  <c r="N13"/>
  <c r="N14"/>
  <c r="N32"/>
  <c r="N31"/>
  <c r="N22"/>
  <c r="N23"/>
  <c r="H22"/>
  <c r="H23"/>
  <c r="H14"/>
  <c r="H13"/>
  <c r="H32"/>
  <c r="H31"/>
  <c r="G81"/>
  <c r="G86"/>
  <c r="G13"/>
  <c r="G14"/>
  <c r="G40"/>
  <c r="G41"/>
  <c r="L81"/>
  <c r="L86"/>
  <c r="L22"/>
  <c r="L23"/>
  <c r="M23" s="1"/>
  <c r="L13"/>
  <c r="L14"/>
  <c r="P5"/>
  <c r="T32" i="10"/>
  <c r="V2"/>
  <c r="T36"/>
  <c r="T46" s="1"/>
  <c r="T48" s="1"/>
  <c r="T55"/>
  <c r="I40" i="2"/>
  <c r="I41"/>
  <c r="I81"/>
  <c r="I86"/>
  <c r="J31"/>
  <c r="J32"/>
  <c r="J22"/>
  <c r="J23"/>
  <c r="J86"/>
  <c r="J81"/>
  <c r="F86"/>
  <c r="F81"/>
  <c r="F40"/>
  <c r="F41"/>
  <c r="M86"/>
  <c r="N81"/>
  <c r="N86"/>
  <c r="N40"/>
  <c r="N41"/>
  <c r="H86"/>
  <c r="H81"/>
  <c r="H41"/>
  <c r="H40"/>
  <c r="G22"/>
  <c r="G23"/>
  <c r="G32"/>
  <c r="G31"/>
  <c r="L40"/>
  <c r="L41"/>
  <c r="M41" s="1"/>
  <c r="L31"/>
  <c r="L32"/>
  <c r="J33" i="10"/>
  <c r="J19" s="1"/>
  <c r="D36" i="2"/>
  <c r="P50" i="10"/>
  <c r="P51"/>
  <c r="N27"/>
  <c r="N30"/>
  <c r="D21" i="2"/>
  <c r="D23"/>
  <c r="K18"/>
  <c r="C18"/>
  <c r="D22"/>
  <c r="T35" i="10"/>
  <c r="T45" s="1"/>
  <c r="V6"/>
  <c r="E50" i="2"/>
  <c r="N56" i="10"/>
  <c r="N34" s="1"/>
  <c r="E39" i="2"/>
  <c r="E41"/>
  <c r="E40"/>
  <c r="D30"/>
  <c r="C27"/>
  <c r="D32"/>
  <c r="K27"/>
  <c r="D31"/>
  <c r="E46"/>
  <c r="R16" i="10"/>
  <c r="P20"/>
  <c r="P26" s="1"/>
  <c r="R47"/>
  <c r="R49" s="1"/>
  <c r="R52"/>
  <c r="L29"/>
  <c r="L28"/>
  <c r="L31" s="1"/>
  <c r="E51" i="2" l="1"/>
  <c r="V55" i="10"/>
  <c r="V36"/>
  <c r="V46" s="1"/>
  <c r="V48" s="1"/>
  <c r="V32"/>
  <c r="X2"/>
  <c r="K14" i="2"/>
  <c r="K13"/>
  <c r="H82"/>
  <c r="J82"/>
  <c r="L82"/>
  <c r="M14"/>
  <c r="M82" s="1"/>
  <c r="G82"/>
  <c r="N82"/>
  <c r="F82"/>
  <c r="I82"/>
  <c r="L33" i="10"/>
  <c r="L19" s="1"/>
  <c r="D45" i="2"/>
  <c r="P27" i="10"/>
  <c r="P30"/>
  <c r="K30" i="2"/>
  <c r="C30"/>
  <c r="V35" i="10"/>
  <c r="V45" s="1"/>
  <c r="X6"/>
  <c r="K23" i="2"/>
  <c r="K21"/>
  <c r="K22" s="1"/>
  <c r="C21"/>
  <c r="N29" i="10"/>
  <c r="N28"/>
  <c r="P54"/>
  <c r="R51"/>
  <c r="R50"/>
  <c r="R20"/>
  <c r="R26" s="1"/>
  <c r="T16"/>
  <c r="K32" i="2"/>
  <c r="O32" s="1"/>
  <c r="K31"/>
  <c r="C32"/>
  <c r="O27"/>
  <c r="C31"/>
  <c r="T47" i="10"/>
  <c r="T49" s="1"/>
  <c r="T52"/>
  <c r="O22" i="2"/>
  <c r="C23"/>
  <c r="O18"/>
  <c r="C22"/>
  <c r="O31" s="1"/>
  <c r="D39"/>
  <c r="D40" s="1"/>
  <c r="D41"/>
  <c r="C36"/>
  <c r="K36"/>
  <c r="R54" i="10" l="1"/>
  <c r="O14" i="2"/>
  <c r="X32" i="10"/>
  <c r="Z2"/>
  <c r="X36"/>
  <c r="X46" s="1"/>
  <c r="X48" s="1"/>
  <c r="X55"/>
  <c r="T51"/>
  <c r="T50"/>
  <c r="T20"/>
  <c r="T26" s="1"/>
  <c r="V16"/>
  <c r="R56"/>
  <c r="R34" s="1"/>
  <c r="E60" i="2"/>
  <c r="P56" i="10"/>
  <c r="P34" s="1"/>
  <c r="E55" i="2"/>
  <c r="V47" i="10"/>
  <c r="V49" s="1"/>
  <c r="V52"/>
  <c r="P28"/>
  <c r="P29"/>
  <c r="K41" i="2"/>
  <c r="O41" s="1"/>
  <c r="O36"/>
  <c r="C41"/>
  <c r="C39"/>
  <c r="C40" s="1"/>
  <c r="K39"/>
  <c r="K40" s="1"/>
  <c r="R30" i="10"/>
  <c r="R27"/>
  <c r="O23" i="2"/>
  <c r="Z6" i="10"/>
  <c r="Z35" s="1"/>
  <c r="Z45" s="1"/>
  <c r="X35"/>
  <c r="X45" s="1"/>
  <c r="D46" i="2"/>
  <c r="C45"/>
  <c r="K45"/>
  <c r="O40"/>
  <c r="N31" i="10"/>
  <c r="E56" i="2" l="1"/>
  <c r="E61"/>
  <c r="Z36" i="10"/>
  <c r="Z46" s="1"/>
  <c r="Z48" s="1"/>
  <c r="Z32"/>
  <c r="Z55"/>
  <c r="P31"/>
  <c r="T54"/>
  <c r="C46" i="2"/>
  <c r="O45"/>
  <c r="X52" i="10"/>
  <c r="X47"/>
  <c r="X49" s="1"/>
  <c r="R29"/>
  <c r="R28"/>
  <c r="R31" s="1"/>
  <c r="V50"/>
  <c r="V51"/>
  <c r="T27"/>
  <c r="T30"/>
  <c r="N33"/>
  <c r="N19" s="1"/>
  <c r="D50" i="2"/>
  <c r="K50" s="1"/>
  <c r="K51" s="1"/>
  <c r="K46"/>
  <c r="Z47" i="10"/>
  <c r="Z49" s="1"/>
  <c r="Z52"/>
  <c r="P33"/>
  <c r="P19" s="1"/>
  <c r="D55" i="2"/>
  <c r="K55" s="1"/>
  <c r="K56" s="1"/>
  <c r="V20" i="10"/>
  <c r="V26" s="1"/>
  <c r="X16"/>
  <c r="T56"/>
  <c r="T34" s="1"/>
  <c r="E65" i="2"/>
  <c r="E66" l="1"/>
  <c r="D60"/>
  <c r="K60" s="1"/>
  <c r="K61" s="1"/>
  <c r="R33" i="10"/>
  <c r="R19" s="1"/>
  <c r="X20"/>
  <c r="X26" s="1"/>
  <c r="Z16"/>
  <c r="Z20" s="1"/>
  <c r="Z26" s="1"/>
  <c r="C55" i="2"/>
  <c r="C56" s="1"/>
  <c r="D56"/>
  <c r="C50"/>
  <c r="C51" s="1"/>
  <c r="D51"/>
  <c r="V27" i="10"/>
  <c r="V30"/>
  <c r="Z51"/>
  <c r="Z50"/>
  <c r="O46" i="2"/>
  <c r="T28" i="10"/>
  <c r="T29"/>
  <c r="X51"/>
  <c r="X50"/>
  <c r="V54"/>
  <c r="T31" l="1"/>
  <c r="T33" s="1"/>
  <c r="T19" s="1"/>
  <c r="X30"/>
  <c r="X27"/>
  <c r="D61" i="2"/>
  <c r="C60"/>
  <c r="C61" s="1"/>
  <c r="E70"/>
  <c r="V56" i="10"/>
  <c r="V34" s="1"/>
  <c r="V29"/>
  <c r="V28"/>
  <c r="V31" s="1"/>
  <c r="Z30"/>
  <c r="Z27"/>
  <c r="X54"/>
  <c r="Z54"/>
  <c r="D65" i="2" l="1"/>
  <c r="K65" s="1"/>
  <c r="K66" s="1"/>
  <c r="E71"/>
  <c r="Z56" i="10"/>
  <c r="Z34" s="1"/>
  <c r="E80" i="2"/>
  <c r="X56" i="10"/>
  <c r="X34" s="1"/>
  <c r="E75" i="2"/>
  <c r="Z29" i="10"/>
  <c r="Z28"/>
  <c r="V33"/>
  <c r="V19" s="1"/>
  <c r="D70" i="2"/>
  <c r="K70" s="1"/>
  <c r="K71" s="1"/>
  <c r="X28" i="10"/>
  <c r="X31" s="1"/>
  <c r="X29"/>
  <c r="D66" i="2"/>
  <c r="C65"/>
  <c r="C66" s="1"/>
  <c r="E76" l="1"/>
  <c r="Z31" i="10"/>
  <c r="X33"/>
  <c r="X19" s="1"/>
  <c r="D75" i="2"/>
  <c r="K75" s="1"/>
  <c r="K76" s="1"/>
  <c r="Z33" i="10"/>
  <c r="Z19" s="1"/>
  <c r="D80" i="2"/>
  <c r="K80" s="1"/>
  <c r="K81" s="1"/>
  <c r="D71"/>
  <c r="C70"/>
  <c r="C71" s="1"/>
  <c r="E81"/>
  <c r="E82" s="1"/>
  <c r="E85"/>
  <c r="K82" l="1"/>
  <c r="D5" i="12"/>
  <c r="E86" i="2"/>
  <c r="D81"/>
  <c r="C80"/>
  <c r="D85"/>
  <c r="K85" s="1"/>
  <c r="K86" s="1"/>
  <c r="D76"/>
  <c r="C75"/>
  <c r="C76" s="1"/>
  <c r="C81" l="1"/>
  <c r="C82" s="1"/>
  <c r="C85"/>
  <c r="C86" s="1"/>
  <c r="D86"/>
  <c r="D4" i="12"/>
  <c r="D3" s="1"/>
  <c r="D16" s="1"/>
  <c r="D19" s="1"/>
  <c r="D82" i="2"/>
  <c r="O87" l="1"/>
  <c r="O88" s="1"/>
  <c r="O85"/>
</calcChain>
</file>

<file path=xl/sharedStrings.xml><?xml version="1.0" encoding="utf-8"?>
<sst xmlns="http://schemas.openxmlformats.org/spreadsheetml/2006/main" count="747" uniqueCount="201">
  <si>
    <t>тмц</t>
  </si>
  <si>
    <t>№ з/п</t>
  </si>
  <si>
    <t>Адреса</t>
  </si>
  <si>
    <t>прибирання прибудинкової території</t>
  </si>
  <si>
    <t>технічне обслуговування внутрішньобудинкових систем</t>
  </si>
  <si>
    <t>дератизація</t>
  </si>
  <si>
    <t>дезинсекція</t>
  </si>
  <si>
    <t>обслуговування димовентиляційних каналів</t>
  </si>
  <si>
    <t>Утримання спільного майна багатоквартирного будинку та прибудинкової території</t>
  </si>
  <si>
    <t>Площа будинку, м²</t>
  </si>
  <si>
    <t>всього</t>
  </si>
  <si>
    <t>технічне обслуговування мереж електропостачання та електрообладнання</t>
  </si>
  <si>
    <t>поточний ремонт конструктивних елементів та внутрішньобудинкових систем</t>
  </si>
  <si>
    <t>Поточний ремонт спільного майна багатоквартирного будинку</t>
  </si>
  <si>
    <t>Оплата послуг щодо енергопостачання спільного майна багатоквартирного будинку</t>
  </si>
  <si>
    <t>освітлення місць загального користування</t>
  </si>
  <si>
    <t>ВСЬОГО</t>
  </si>
  <si>
    <t>прибирання, посипання частини прибудинкової території, призначеної для проходу та проїзду, протиожеледними сумішами</t>
  </si>
  <si>
    <t>Нараховано, грн.</t>
  </si>
  <si>
    <t>Витрачено, грн.</t>
  </si>
  <si>
    <t>Залишок, грн</t>
  </si>
  <si>
    <t>Сплачено, грн.</t>
  </si>
  <si>
    <t>Ітого:</t>
  </si>
  <si>
    <t>ПЛАН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</si>
  <si>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</si>
  <si>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</si>
  <si>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</si>
  <si>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</si>
  <si>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</si>
  <si>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</si>
  <si>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</si>
  <si>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общая площадь дома</t>
  </si>
  <si>
    <t>м2</t>
  </si>
  <si>
    <t>количество подъездов</t>
  </si>
  <si>
    <t>шт.</t>
  </si>
  <si>
    <t>количество козырьков</t>
  </si>
  <si>
    <t>шт</t>
  </si>
  <si>
    <t>площадь кровли</t>
  </si>
  <si>
    <t>количество квартир</t>
  </si>
  <si>
    <t>площадь подвалов</t>
  </si>
  <si>
    <t>площадь подъездов</t>
  </si>
  <si>
    <t>площадь межпанельных швов</t>
  </si>
  <si>
    <t>протяженность ДВК</t>
  </si>
  <si>
    <t>м.п</t>
  </si>
  <si>
    <t>количество монтажных окон</t>
  </si>
  <si>
    <t>количество вводов</t>
  </si>
  <si>
    <t>площадь отмостков</t>
  </si>
  <si>
    <t>площадь цоколя</t>
  </si>
  <si>
    <t>площадь подлежащая изоляции</t>
  </si>
  <si>
    <t>убираемая территория</t>
  </si>
  <si>
    <t>площадь подлежащая посыпке</t>
  </si>
  <si>
    <t>1. СОДЕРЖАНИЕ ОБЩЕГО ИМУЩЕСТВА МНОГОКВАРТИРНОГО ДОМА И ПРИДОМОВОЙ ТЕРРИТОРИИ</t>
  </si>
  <si>
    <t>УБОРКА ПРИДОМОВОЙ ТЕРРИТОРИИ</t>
  </si>
  <si>
    <t>грн./мес.</t>
  </si>
  <si>
    <t>норматив на 1 дворника</t>
  </si>
  <si>
    <t>средняя з/п дворника</t>
  </si>
  <si>
    <t>начисления на з/п</t>
  </si>
  <si>
    <t>накладные затраты</t>
  </si>
  <si>
    <t>затраты ТМЦ и СИЗ на 1 дворника</t>
  </si>
  <si>
    <t>- расчет количества дворников</t>
  </si>
  <si>
    <t>чел.</t>
  </si>
  <si>
    <t>- расчет ФОП дворников</t>
  </si>
  <si>
    <t>- расчет начислений на з/п</t>
  </si>
  <si>
    <t>- расче накладных</t>
  </si>
  <si>
    <t>- расчет материальных затрат</t>
  </si>
  <si>
    <t>- всего затрат</t>
  </si>
  <si>
    <t>- стоимость на 1м2 площади</t>
  </si>
  <si>
    <t>ТЕХНИЧЕСКОЕ ОБСЛУЖИВАНИЕ</t>
  </si>
  <si>
    <t>норматив на 1 монтажника СТСО</t>
  </si>
  <si>
    <t>квартир</t>
  </si>
  <si>
    <t>норматив на 1 эл-газ сварщика</t>
  </si>
  <si>
    <t>средняя з/п монтажника СТСО</t>
  </si>
  <si>
    <t>средняя з/п эл-газ сварщика</t>
  </si>
  <si>
    <t>затраты ТМЦ и СИЗ на 1 монтажника СТСО</t>
  </si>
  <si>
    <t>затраты ТМЦ и СИЗ на 1 эл-газ сварщика</t>
  </si>
  <si>
    <t>- расчет количества монтажников СТСО</t>
  </si>
  <si>
    <t>- расчет количества эл-газ сварщика</t>
  </si>
  <si>
    <t>- расчет ФОП монтажников</t>
  </si>
  <si>
    <t>- расчет ФОП эл-газ сврщиков</t>
  </si>
  <si>
    <t>- всего ФОП</t>
  </si>
  <si>
    <t>- материалы</t>
  </si>
  <si>
    <t>ДЕРАТИЗАЦИЯ</t>
  </si>
  <si>
    <t>стоимость услуг</t>
  </si>
  <si>
    <t>грн./м2</t>
  </si>
  <si>
    <t>периодичность услуги</t>
  </si>
  <si>
    <t>раза/год</t>
  </si>
  <si>
    <t>- расчет стоимости услуги</t>
  </si>
  <si>
    <t>грн./год</t>
  </si>
  <si>
    <t>ДЕЗИНСЕКЦИИ</t>
  </si>
  <si>
    <t>ОБСЛУЖИВАНИЕ ДВК</t>
  </si>
  <si>
    <t>грн./м.п./мес</t>
  </si>
  <si>
    <t>ТЕХНИЧЕСКОЕ ОБСЛУЖИВАНИЕ СЕТЕЙ ЭЛЕКТРОСНАБЖЕНИЯ И ЭЛЕКТРООБОРУДОВАНИЯ</t>
  </si>
  <si>
    <t>Посыпка придомовой территории</t>
  </si>
  <si>
    <t>количество гранотсева на 100м2</t>
  </si>
  <si>
    <t>т</t>
  </si>
  <si>
    <t>количество соли на 100 м2</t>
  </si>
  <si>
    <t>грн./т</t>
  </si>
  <si>
    <t>стоимость соли</t>
  </si>
  <si>
    <t>количество посыпок</t>
  </si>
  <si>
    <t>раз/год</t>
  </si>
  <si>
    <t>ИТОГО СТОИМОСТЬ С НДС</t>
  </si>
  <si>
    <t>2. ТЕКУЩИЙ РЕМОНТ ОБЩЕГО ИМУЩЕСТВА МНОГОКВАРТИРНОГО ДОМА</t>
  </si>
  <si>
    <t>ТЕКУЩИЙ РЕМОНТ</t>
  </si>
  <si>
    <t>Ремонт подъездов</t>
  </si>
  <si>
    <t>периодичность один раз в</t>
  </si>
  <si>
    <t>лет</t>
  </si>
  <si>
    <t>стоимость ремонта</t>
  </si>
  <si>
    <t>Ремонт швов</t>
  </si>
  <si>
    <t>год</t>
  </si>
  <si>
    <t>% от всей протяженности подлежащий ремонту</t>
  </si>
  <si>
    <t>Герметизация вводов</t>
  </si>
  <si>
    <t>грн./ввод</t>
  </si>
  <si>
    <t>Ремонт кровли</t>
  </si>
  <si>
    <t>% от всей площади подлежащий ремонту</t>
  </si>
  <si>
    <t>Ремонт отмостков</t>
  </si>
  <si>
    <t>Изоляция подвалов</t>
  </si>
  <si>
    <t>Ремонт малых форм</t>
  </si>
  <si>
    <t>стоимость ремонта всех малых форм ЖФ</t>
  </si>
  <si>
    <t>грн.</t>
  </si>
  <si>
    <t>общая площадь ЖФ</t>
  </si>
  <si>
    <t>Замена стекла в подъездах</t>
  </si>
  <si>
    <t>количество замены</t>
  </si>
  <si>
    <t>м2/дом</t>
  </si>
  <si>
    <t>Закрытие монтажных окон в зимний период</t>
  </si>
  <si>
    <t>стоимость работ</t>
  </si>
  <si>
    <t>грн./окно</t>
  </si>
  <si>
    <t>Ремонт дверей и выходов на кровлю</t>
  </si>
  <si>
    <t>количество дверей</t>
  </si>
  <si>
    <t>Ремонт козырьков</t>
  </si>
  <si>
    <t>площадь одного козырька</t>
  </si>
  <si>
    <t>площадь козырьков</t>
  </si>
  <si>
    <t>подлежит ремонту</t>
  </si>
  <si>
    <t>стоимость ремонта 1 м2</t>
  </si>
  <si>
    <t>грн</t>
  </si>
  <si>
    <t>ТЕКУЩИЙ РЕМОНТ СЕТЕЙ ЭЛЕКТРОСНАБЖЕНИЯ И ЭЛЕКТРОБОРУДОВАНИЯ</t>
  </si>
  <si>
    <t>3. ОСВЕЩЕНИЕ МЕСТ ОБЩЕГО ПЛЬЗОВАНИЯ</t>
  </si>
  <si>
    <t>Освещение мест общего пользования</t>
  </si>
  <si>
    <t>4. ВОЗНАГРАЖДЕНИЕ УПРАВИТЕЛЮ</t>
  </si>
  <si>
    <t>Вознаграждение управителю</t>
  </si>
  <si>
    <t>ВСЕГО С НДС</t>
  </si>
  <si>
    <t>УБОРКА ЛЕСТНИЧНЫХ КЛЕТОК</t>
  </si>
  <si>
    <t>УБОРКА ПОДВАЛА, ТЕХНИЧЕСКИХ ЭТАЖЕЙ И КРЫШ</t>
  </si>
  <si>
    <t>січень без ПДВ</t>
  </si>
  <si>
    <t>Витрачено, грн.:</t>
  </si>
  <si>
    <t>з/пл</t>
  </si>
  <si>
    <t>накладні</t>
  </si>
  <si>
    <t>Залишок (без наклад), грн</t>
  </si>
  <si>
    <t>лютий без ПДВ</t>
  </si>
  <si>
    <t>Витрачено, грн:</t>
  </si>
  <si>
    <t>тмц та СІЗ</t>
  </si>
  <si>
    <t>березень без ПДВ</t>
  </si>
  <si>
    <t>квітень без ПДВ</t>
  </si>
  <si>
    <t>травень без ПДВ</t>
  </si>
  <si>
    <t>средний тариф</t>
  </si>
  <si>
    <t>з ПДВ</t>
  </si>
  <si>
    <t>Дезинсекция</t>
  </si>
  <si>
    <t>,</t>
  </si>
  <si>
    <t>1м2</t>
  </si>
  <si>
    <t>стоимость песка</t>
  </si>
  <si>
    <t>грн/м2</t>
  </si>
  <si>
    <t>Ремонт цоколя</t>
  </si>
  <si>
    <t>%</t>
  </si>
  <si>
    <t>стоимость на 1м2 площади</t>
  </si>
  <si>
    <t>АДРЕС:Курская, 18</t>
  </si>
  <si>
    <t>Курська, 18</t>
  </si>
  <si>
    <t>червень без ПДВ</t>
  </si>
  <si>
    <t>липень без ПДВ</t>
  </si>
  <si>
    <t>серпень без ПДВ</t>
  </si>
  <si>
    <t>вересень без ПДВ</t>
  </si>
  <si>
    <t>жовтень без ПДВ</t>
  </si>
  <si>
    <t>листопад без ПДВ</t>
  </si>
  <si>
    <t>грудень без ПДВ</t>
  </si>
  <si>
    <t>август</t>
  </si>
  <si>
    <t>сентябрь</t>
  </si>
  <si>
    <t>октябрь</t>
  </si>
  <si>
    <t>ноябрь</t>
  </si>
  <si>
    <t>декабрь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</si>
  <si>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</si>
  <si>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</si>
  <si>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</si>
  <si>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</si>
  <si>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</si>
  <si>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1.1.</t>
  </si>
  <si>
    <t>1.2.</t>
  </si>
  <si>
    <t>1.3.</t>
  </si>
  <si>
    <t>1.4.</t>
  </si>
  <si>
    <t>1.5.</t>
  </si>
  <si>
    <t>1.6.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</si>
  <si>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</si>
  <si>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</si>
  <si>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</si>
  <si>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2.1.</t>
  </si>
  <si>
    <t>3.</t>
  </si>
  <si>
    <t>3.1.</t>
  </si>
  <si>
    <t>4.</t>
  </si>
  <si>
    <t>Винагорода управителю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</si>
  <si>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</si>
  <si>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</si>
  <si>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</si>
  <si>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</si>
  <si>
    <t>Звіт з послуги по управлінню багатоквартирним будинком       № 18 по вул.Героїв-рятувальників</t>
  </si>
</sst>
</file>

<file path=xl/styles.xml><?xml version="1.0" encoding="utf-8"?>
<styleSheet xmlns="http://schemas.openxmlformats.org/spreadsheetml/2006/main">
  <numFmts count="5">
    <numFmt numFmtId="164" formatCode="_-* #,##0.00_₴_-;\-* #,##0.00_₴_-;_-* &quot;-&quot;??_₴_-;_-@_-"/>
    <numFmt numFmtId="165" formatCode="0.0000"/>
    <numFmt numFmtId="166" formatCode="#,##0.0000"/>
    <numFmt numFmtId="167" formatCode="0.0%"/>
    <numFmt numFmtId="168" formatCode="#,##0.0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33CCCC"/>
      </patternFill>
    </fill>
    <fill>
      <patternFill patternType="solid">
        <fgColor theme="0"/>
        <bgColor rgb="FFFFFFCC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04">
    <xf numFmtId="0" fontId="0" fillId="0" borderId="0" xfId="0"/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textRotation="90" wrapText="1"/>
    </xf>
    <xf numFmtId="0" fontId="6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167" fontId="5" fillId="0" borderId="1" xfId="2" applyNumberFormat="1" applyFont="1" applyFill="1" applyBorder="1" applyAlignment="1">
      <alignment horizontal="center"/>
    </xf>
    <xf numFmtId="167" fontId="6" fillId="0" borderId="1" xfId="2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3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right"/>
    </xf>
    <xf numFmtId="3" fontId="9" fillId="2" borderId="1" xfId="0" applyNumberFormat="1" applyFont="1" applyFill="1" applyBorder="1" applyAlignment="1">
      <alignment horizontal="left" wrapText="1"/>
    </xf>
    <xf numFmtId="3" fontId="9" fillId="2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vertical="center" wrapText="1"/>
    </xf>
    <xf numFmtId="166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left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9" fontId="8" fillId="0" borderId="1" xfId="0" applyNumberFormat="1" applyFont="1" applyBorder="1" applyAlignment="1">
      <alignment horizontal="right"/>
    </xf>
    <xf numFmtId="0" fontId="8" fillId="4" borderId="1" xfId="0" applyFont="1" applyFill="1" applyBorder="1"/>
    <xf numFmtId="166" fontId="8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left"/>
    </xf>
    <xf numFmtId="0" fontId="0" fillId="4" borderId="0" xfId="0" applyFill="1"/>
    <xf numFmtId="166" fontId="8" fillId="0" borderId="1" xfId="0" applyNumberFormat="1" applyFont="1" applyBorder="1" applyAlignment="1">
      <alignment horizontal="right"/>
    </xf>
    <xf numFmtId="0" fontId="9" fillId="0" borderId="1" xfId="0" applyFont="1" applyBorder="1"/>
    <xf numFmtId="166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3" fillId="0" borderId="0" xfId="0" applyFont="1"/>
    <xf numFmtId="49" fontId="8" fillId="4" borderId="1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5" borderId="0" xfId="0" applyFont="1" applyFill="1" applyBorder="1" applyAlignment="1">
      <alignment horizontal="left" vertical="center" wrapText="1"/>
    </xf>
    <xf numFmtId="166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right"/>
    </xf>
    <xf numFmtId="0" fontId="8" fillId="6" borderId="0" xfId="0" applyFont="1" applyFill="1" applyBorder="1"/>
    <xf numFmtId="4" fontId="8" fillId="6" borderId="0" xfId="0" applyNumberFormat="1" applyFont="1" applyFill="1" applyBorder="1" applyAlignment="1">
      <alignment horizontal="right"/>
    </xf>
    <xf numFmtId="0" fontId="8" fillId="6" borderId="0" xfId="0" applyFont="1" applyFill="1" applyBorder="1" applyAlignment="1">
      <alignment horizontal="left"/>
    </xf>
    <xf numFmtId="166" fontId="8" fillId="6" borderId="0" xfId="0" applyNumberFormat="1" applyFont="1" applyFill="1" applyBorder="1" applyAlignment="1">
      <alignment horizontal="right"/>
    </xf>
    <xf numFmtId="3" fontId="8" fillId="6" borderId="0" xfId="0" applyNumberFormat="1" applyFont="1" applyFill="1" applyBorder="1" applyAlignment="1">
      <alignment horizontal="right"/>
    </xf>
    <xf numFmtId="0" fontId="9" fillId="6" borderId="0" xfId="0" applyFont="1" applyFill="1" applyBorder="1"/>
    <xf numFmtId="166" fontId="9" fillId="6" borderId="0" xfId="0" applyNumberFormat="1" applyFont="1" applyFill="1" applyBorder="1" applyAlignment="1">
      <alignment horizontal="right"/>
    </xf>
    <xf numFmtId="0" fontId="9" fillId="6" borderId="0" xfId="0" applyFont="1" applyFill="1" applyBorder="1" applyAlignment="1">
      <alignment horizontal="left"/>
    </xf>
    <xf numFmtId="0" fontId="9" fillId="5" borderId="0" xfId="0" applyFont="1" applyFill="1" applyBorder="1"/>
    <xf numFmtId="165" fontId="9" fillId="5" borderId="0" xfId="0" applyNumberFormat="1" applyFont="1" applyFill="1" applyBorder="1" applyAlignment="1">
      <alignment horizontal="right"/>
    </xf>
    <xf numFmtId="0" fontId="9" fillId="5" borderId="0" xfId="0" applyFont="1" applyFill="1" applyBorder="1" applyAlignment="1">
      <alignment horizontal="left"/>
    </xf>
    <xf numFmtId="3" fontId="9" fillId="7" borderId="0" xfId="0" applyNumberFormat="1" applyFont="1" applyFill="1" applyBorder="1" applyAlignment="1">
      <alignment horizontal="left" wrapText="1"/>
    </xf>
    <xf numFmtId="3" fontId="9" fillId="7" borderId="0" xfId="0" applyNumberFormat="1" applyFont="1" applyFill="1" applyBorder="1" applyAlignment="1">
      <alignment horizontal="right" wrapText="1"/>
    </xf>
    <xf numFmtId="0" fontId="9" fillId="8" borderId="0" xfId="0" applyFont="1" applyFill="1" applyBorder="1" applyAlignment="1"/>
    <xf numFmtId="9" fontId="8" fillId="6" borderId="0" xfId="2" applyFont="1" applyFill="1" applyBorder="1" applyAlignment="1" applyProtection="1">
      <alignment horizontal="right"/>
    </xf>
    <xf numFmtId="9" fontId="8" fillId="6" borderId="0" xfId="0" applyNumberFormat="1" applyFont="1" applyFill="1" applyBorder="1" applyAlignment="1">
      <alignment horizontal="right"/>
    </xf>
    <xf numFmtId="168" fontId="8" fillId="6" borderId="0" xfId="0" applyNumberFormat="1" applyFont="1" applyFill="1" applyBorder="1" applyAlignment="1">
      <alignment horizontal="right"/>
    </xf>
    <xf numFmtId="0" fontId="8" fillId="9" borderId="0" xfId="0" applyFont="1" applyFill="1" applyBorder="1"/>
    <xf numFmtId="0" fontId="2" fillId="5" borderId="0" xfId="0" applyFont="1" applyFill="1" applyBorder="1" applyAlignment="1">
      <alignment wrapText="1"/>
    </xf>
    <xf numFmtId="0" fontId="2" fillId="5" borderId="0" xfId="0" applyFont="1" applyFill="1" applyBorder="1" applyAlignment="1">
      <alignment horizontal="left"/>
    </xf>
    <xf numFmtId="0" fontId="2" fillId="5" borderId="0" xfId="0" applyFont="1" applyFill="1" applyBorder="1"/>
    <xf numFmtId="0" fontId="10" fillId="7" borderId="0" xfId="0" applyFont="1" applyFill="1" applyBorder="1"/>
    <xf numFmtId="166" fontId="10" fillId="7" borderId="0" xfId="0" applyNumberFormat="1" applyFont="1" applyFill="1" applyBorder="1" applyAlignment="1">
      <alignment horizontal="right"/>
    </xf>
    <xf numFmtId="0" fontId="10" fillId="7" borderId="0" xfId="0" applyFont="1" applyFill="1" applyBorder="1" applyAlignment="1">
      <alignment horizontal="left"/>
    </xf>
    <xf numFmtId="0" fontId="0" fillId="6" borderId="0" xfId="0" applyFill="1" applyBorder="1"/>
    <xf numFmtId="0" fontId="0" fillId="6" borderId="0" xfId="0" applyFill="1" applyBorder="1" applyAlignment="1">
      <alignment horizontal="left"/>
    </xf>
    <xf numFmtId="10" fontId="8" fillId="0" borderId="1" xfId="3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67" fontId="5" fillId="0" borderId="0" xfId="0" applyNumberFormat="1" applyFont="1" applyFill="1" applyBorder="1"/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4" fontId="5" fillId="0" borderId="1" xfId="0" applyNumberFormat="1" applyFont="1" applyFill="1" applyBorder="1" applyAlignment="1">
      <alignment horizontal="center" vertical="center"/>
    </xf>
    <xf numFmtId="164" fontId="5" fillId="0" borderId="1" xfId="3" applyFont="1" applyFill="1" applyBorder="1" applyAlignment="1">
      <alignment horizontal="center" vertical="center"/>
    </xf>
    <xf numFmtId="164" fontId="5" fillId="6" borderId="1" xfId="3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/>
    </xf>
    <xf numFmtId="164" fontId="6" fillId="0" borderId="1" xfId="3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/>
    </xf>
    <xf numFmtId="2" fontId="6" fillId="0" borderId="1" xfId="2" applyNumberFormat="1" applyFont="1" applyFill="1" applyBorder="1" applyAlignment="1">
      <alignment horizontal="center"/>
    </xf>
    <xf numFmtId="164" fontId="5" fillId="0" borderId="0" xfId="0" applyNumberFormat="1" applyFont="1" applyFill="1" applyBorder="1"/>
    <xf numFmtId="4" fontId="5" fillId="0" borderId="0" xfId="0" applyNumberFormat="1" applyFont="1" applyFill="1" applyBorder="1"/>
    <xf numFmtId="4" fontId="5" fillId="6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4" fontId="11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" fontId="11" fillId="6" borderId="1" xfId="0" applyNumberFormat="1" applyFont="1" applyFill="1" applyBorder="1" applyAlignment="1">
      <alignment horizontal="center"/>
    </xf>
    <xf numFmtId="4" fontId="7" fillId="6" borderId="1" xfId="0" applyNumberFormat="1" applyFont="1" applyFill="1" applyBorder="1" applyAlignment="1">
      <alignment horizontal="center"/>
    </xf>
    <xf numFmtId="2" fontId="7" fillId="0" borderId="1" xfId="2" applyNumberFormat="1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6" fillId="6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6" borderId="0" xfId="0" applyFont="1" applyFill="1" applyBorder="1"/>
    <xf numFmtId="0" fontId="6" fillId="6" borderId="0" xfId="0" applyFont="1" applyFill="1" applyBorder="1"/>
    <xf numFmtId="2" fontId="6" fillId="0" borderId="0" xfId="0" applyNumberFormat="1" applyFont="1" applyFill="1" applyBorder="1"/>
    <xf numFmtId="0" fontId="9" fillId="3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right"/>
    </xf>
    <xf numFmtId="3" fontId="9" fillId="2" borderId="1" xfId="0" applyNumberFormat="1" applyFont="1" applyFill="1" applyBorder="1" applyAlignment="1">
      <alignment horizontal="left" wrapText="1"/>
    </xf>
    <xf numFmtId="3" fontId="9" fillId="2" borderId="1" xfId="0" applyNumberFormat="1" applyFont="1" applyFill="1" applyBorder="1" applyAlignment="1">
      <alignment horizontal="right" wrapText="1"/>
    </xf>
    <xf numFmtId="166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9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166" fontId="8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left"/>
    </xf>
    <xf numFmtId="4" fontId="5" fillId="6" borderId="0" xfId="0" applyNumberFormat="1" applyFont="1" applyFill="1" applyBorder="1"/>
    <xf numFmtId="166" fontId="2" fillId="10" borderId="1" xfId="0" applyNumberFormat="1" applyFont="1" applyFill="1" applyBorder="1" applyAlignment="1">
      <alignment horizontal="right"/>
    </xf>
    <xf numFmtId="0" fontId="2" fillId="10" borderId="1" xfId="0" applyFont="1" applyFill="1" applyBorder="1" applyAlignment="1">
      <alignment horizontal="left" vertical="center"/>
    </xf>
    <xf numFmtId="0" fontId="0" fillId="11" borderId="0" xfId="0" applyFill="1"/>
    <xf numFmtId="0" fontId="2" fillId="10" borderId="1" xfId="0" applyFont="1" applyFill="1" applyBorder="1" applyAlignment="1">
      <alignment horizontal="left" vertical="center" wrapText="1"/>
    </xf>
    <xf numFmtId="0" fontId="0" fillId="11" borderId="1" xfId="0" applyFill="1" applyBorder="1" applyAlignment="1">
      <alignment horizontal="right"/>
    </xf>
    <xf numFmtId="0" fontId="0" fillId="11" borderId="1" xfId="0" applyFill="1" applyBorder="1" applyAlignment="1">
      <alignment horizontal="left"/>
    </xf>
    <xf numFmtId="0" fontId="12" fillId="11" borderId="1" xfId="0" applyFont="1" applyFill="1" applyBorder="1" applyAlignment="1">
      <alignment horizontal="right"/>
    </xf>
    <xf numFmtId="0" fontId="6" fillId="6" borderId="1" xfId="0" applyFont="1" applyFill="1" applyBorder="1" applyAlignment="1">
      <alignment horizontal="center" textRotation="90" wrapText="1"/>
    </xf>
    <xf numFmtId="0" fontId="6" fillId="6" borderId="1" xfId="0" applyFont="1" applyFill="1" applyBorder="1" applyAlignment="1">
      <alignment horizontal="center" vertical="top" wrapText="1"/>
    </xf>
    <xf numFmtId="166" fontId="5" fillId="6" borderId="1" xfId="0" applyNumberFormat="1" applyFont="1" applyFill="1" applyBorder="1" applyAlignment="1">
      <alignment horizontal="center"/>
    </xf>
    <xf numFmtId="166" fontId="6" fillId="6" borderId="1" xfId="0" applyNumberFormat="1" applyFont="1" applyFill="1" applyBorder="1" applyAlignment="1">
      <alignment horizontal="center"/>
    </xf>
    <xf numFmtId="167" fontId="6" fillId="6" borderId="1" xfId="2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166" fontId="8" fillId="4" borderId="1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vertical="center" wrapText="1"/>
    </xf>
    <xf numFmtId="3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right"/>
    </xf>
    <xf numFmtId="3" fontId="9" fillId="2" borderId="1" xfId="0" applyNumberFormat="1" applyFont="1" applyFill="1" applyBorder="1" applyAlignment="1">
      <alignment horizontal="left" wrapText="1"/>
    </xf>
    <xf numFmtId="3" fontId="9" fillId="2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vertical="center" wrapText="1"/>
    </xf>
    <xf numFmtId="166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left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9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0" fontId="9" fillId="0" borderId="1" xfId="0" applyFont="1" applyBorder="1"/>
    <xf numFmtId="166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49" fontId="8" fillId="0" borderId="1" xfId="0" applyNumberFormat="1" applyFont="1" applyBorder="1"/>
    <xf numFmtId="0" fontId="9" fillId="3" borderId="1" xfId="0" applyFont="1" applyFill="1" applyBorder="1"/>
    <xf numFmtId="165" fontId="9" fillId="3" borderId="1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/>
    </xf>
    <xf numFmtId="0" fontId="9" fillId="12" borderId="1" xfId="0" applyFont="1" applyFill="1" applyBorder="1" applyAlignment="1"/>
    <xf numFmtId="9" fontId="8" fillId="0" borderId="1" xfId="2" applyFont="1" applyBorder="1" applyAlignment="1" applyProtection="1">
      <alignment horizontal="right"/>
    </xf>
    <xf numFmtId="167" fontId="8" fillId="0" borderId="1" xfId="0" applyNumberFormat="1" applyFont="1" applyBorder="1" applyAlignment="1">
      <alignment horizontal="right"/>
    </xf>
    <xf numFmtId="168" fontId="8" fillId="0" borderId="1" xfId="0" applyNumberFormat="1" applyFont="1" applyBorder="1" applyAlignment="1">
      <alignment horizontal="right"/>
    </xf>
    <xf numFmtId="0" fontId="8" fillId="13" borderId="1" xfId="0" applyFont="1" applyFill="1" applyBorder="1"/>
    <xf numFmtId="0" fontId="9" fillId="12" borderId="1" xfId="0" applyFont="1" applyFill="1" applyBorder="1"/>
    <xf numFmtId="166" fontId="9" fillId="12" borderId="1" xfId="0" applyNumberFormat="1" applyFont="1" applyFill="1" applyBorder="1" applyAlignment="1">
      <alignment horizontal="right"/>
    </xf>
    <xf numFmtId="0" fontId="9" fillId="12" borderId="1" xfId="0" applyFont="1" applyFill="1" applyBorder="1" applyAlignment="1">
      <alignment horizontal="left"/>
    </xf>
    <xf numFmtId="9" fontId="8" fillId="0" borderId="1" xfId="0" applyNumberFormat="1" applyFont="1" applyBorder="1" applyAlignment="1">
      <alignment horizontal="left"/>
    </xf>
    <xf numFmtId="4" fontId="8" fillId="13" borderId="1" xfId="0" applyNumberFormat="1" applyFont="1" applyFill="1" applyBorder="1" applyAlignment="1">
      <alignment horizontal="right"/>
    </xf>
    <xf numFmtId="0" fontId="8" fillId="13" borderId="1" xfId="0" applyFont="1" applyFill="1" applyBorder="1" applyAlignment="1">
      <alignment horizontal="left"/>
    </xf>
    <xf numFmtId="168" fontId="8" fillId="13" borderId="1" xfId="0" applyNumberFormat="1" applyFont="1" applyFill="1" applyBorder="1" applyAlignment="1">
      <alignment horizontal="right"/>
    </xf>
    <xf numFmtId="0" fontId="9" fillId="13" borderId="1" xfId="0" applyFont="1" applyFill="1" applyBorder="1"/>
    <xf numFmtId="166" fontId="9" fillId="1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10" fillId="2" borderId="1" xfId="0" applyFont="1" applyFill="1" applyBorder="1"/>
    <xf numFmtId="166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166" fontId="12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165" fontId="13" fillId="0" borderId="1" xfId="0" applyNumberFormat="1" applyFont="1" applyBorder="1" applyAlignment="1">
      <alignment horizontal="center" vertical="top" wrapText="1"/>
    </xf>
    <xf numFmtId="166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4" fontId="12" fillId="0" borderId="0" xfId="0" applyNumberFormat="1" applyFont="1" applyAlignment="1">
      <alignment horizontal="right" vertical="top"/>
    </xf>
    <xf numFmtId="0" fontId="8" fillId="0" borderId="0" xfId="0" applyFont="1"/>
    <xf numFmtId="0" fontId="9" fillId="0" borderId="0" xfId="0" applyFont="1"/>
    <xf numFmtId="4" fontId="9" fillId="0" borderId="0" xfId="0" applyNumberFormat="1" applyFont="1" applyAlignment="1">
      <alignment horizontal="right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</cellXfs>
  <cellStyles count="4">
    <cellStyle name="Excel Built-in Normal" xfId="1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5;&#1077;&#1088;&#1077;&#1084;&#1086;&#1075;&#1080;,%2027&#1072;/&#1091;&#1083;.&#1055;&#1086;&#1073;&#1077;&#1076;&#1099;%2027&#10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57;&#1074;&#1086;&#1076;&#1085;&#1072;&#1103;%20&#1090;&#1072;&#1073;&#1083;&#1080;&#1094;&#1072;%20&#1087;&#1086;%20&#1091;&#1088;&#1072;&#1074;&#1083;&#1077;&#1085;&#1080;&#1102;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30">
          <cell r="J30">
            <v>105.5821</v>
          </cell>
        </row>
        <row r="31">
          <cell r="K31">
            <v>1556.1378999999999</v>
          </cell>
        </row>
        <row r="52">
          <cell r="J52">
            <v>0</v>
          </cell>
        </row>
        <row r="54">
          <cell r="E54">
            <v>0</v>
          </cell>
          <cell r="K54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Лист2"/>
    </sheetNames>
    <sheetDataSet>
      <sheetData sheetId="0"/>
      <sheetData sheetId="1">
        <row r="2">
          <cell r="B2">
            <v>211.66666666666666</v>
          </cell>
          <cell r="C2">
            <v>246.29263157894735</v>
          </cell>
          <cell r="D2">
            <v>1541.8</v>
          </cell>
          <cell r="F2">
            <v>1.7736000000000001</v>
          </cell>
        </row>
        <row r="3">
          <cell r="B3">
            <v>558.20153846153846</v>
          </cell>
          <cell r="C3">
            <v>990.36</v>
          </cell>
          <cell r="D3">
            <v>1320.06</v>
          </cell>
          <cell r="F3">
            <v>1.9014</v>
          </cell>
        </row>
        <row r="4">
          <cell r="B4">
            <v>122.87142857142858</v>
          </cell>
          <cell r="C4">
            <v>118.45882352941176</v>
          </cell>
          <cell r="D4">
            <v>859.30000000000007</v>
          </cell>
          <cell r="F4">
            <v>2.1299000000000001</v>
          </cell>
        </row>
        <row r="5">
          <cell r="F5">
            <v>1.9529000000000001</v>
          </cell>
        </row>
        <row r="6">
          <cell r="B6">
            <v>778.5955172413793</v>
          </cell>
          <cell r="C6">
            <v>18.365555555555556</v>
          </cell>
          <cell r="D6">
            <v>604.4133333333333</v>
          </cell>
          <cell r="F6">
            <v>1.8880999999999999</v>
          </cell>
        </row>
        <row r="7">
          <cell r="B7">
            <v>507.62428571428569</v>
          </cell>
          <cell r="C7">
            <v>16.777777777777779</v>
          </cell>
          <cell r="D7">
            <v>1789.58</v>
          </cell>
          <cell r="F7">
            <v>2.2700999999999998</v>
          </cell>
        </row>
        <row r="8">
          <cell r="B8">
            <v>185.45285714285714</v>
          </cell>
          <cell r="D8">
            <v>1777.68</v>
          </cell>
          <cell r="F8">
            <v>1.8502000000000001</v>
          </cell>
        </row>
        <row r="9">
          <cell r="D9">
            <v>1777.5</v>
          </cell>
          <cell r="F9">
            <v>2.09</v>
          </cell>
        </row>
        <row r="10">
          <cell r="B10">
            <v>816.98730769230758</v>
          </cell>
          <cell r="C10">
            <v>2.7777777777777777</v>
          </cell>
          <cell r="D10">
            <v>888.84</v>
          </cell>
          <cell r="F10">
            <v>1.8043</v>
          </cell>
        </row>
        <row r="11">
          <cell r="B11">
            <v>37.276299999999999</v>
          </cell>
          <cell r="C11">
            <v>48.387111111111111</v>
          </cell>
          <cell r="D11">
            <v>1815.8400000000001</v>
          </cell>
          <cell r="F11">
            <v>2.0918999999999999</v>
          </cell>
        </row>
        <row r="12">
          <cell r="B12">
            <v>140</v>
          </cell>
          <cell r="D12">
            <v>2229.0433333333335</v>
          </cell>
          <cell r="F12">
            <v>1.6333</v>
          </cell>
        </row>
        <row r="13">
          <cell r="B13">
            <v>31.517241379310345</v>
          </cell>
          <cell r="C13">
            <v>15.882352941176471</v>
          </cell>
          <cell r="D13">
            <v>605.66999999999996</v>
          </cell>
          <cell r="F13">
            <v>1.7729999999999999</v>
          </cell>
        </row>
        <row r="15">
          <cell r="B15">
            <v>3.3600000000000003</v>
          </cell>
        </row>
      </sheetData>
      <sheetData sheetId="2">
        <row r="2">
          <cell r="D2">
            <v>9508.6140740740739</v>
          </cell>
          <cell r="E2">
            <v>9874.33</v>
          </cell>
          <cell r="F2">
            <v>9169.0207142857143</v>
          </cell>
          <cell r="G2">
            <v>9508.6140740740739</v>
          </cell>
          <cell r="H2">
            <v>8852.8475862068954</v>
          </cell>
          <cell r="I2">
            <v>9169.0207142857143</v>
          </cell>
          <cell r="J2">
            <v>9169.0207142857143</v>
          </cell>
          <cell r="K2">
            <v>10269.3032</v>
          </cell>
          <cell r="L2">
            <v>9874.33</v>
          </cell>
          <cell r="M2">
            <v>9508.6140740740739</v>
          </cell>
          <cell r="N2">
            <v>9508.6140740740739</v>
          </cell>
          <cell r="O2">
            <v>8852.8475862068954</v>
          </cell>
        </row>
        <row r="3">
          <cell r="D3">
            <v>6979.67</v>
          </cell>
          <cell r="E3">
            <v>7017.73</v>
          </cell>
          <cell r="F3">
            <v>7367.16</v>
          </cell>
          <cell r="G3">
            <v>6280.54</v>
          </cell>
          <cell r="H3">
            <v>6330.5</v>
          </cell>
          <cell r="I3">
            <v>6094.35</v>
          </cell>
          <cell r="J3">
            <v>6235.02</v>
          </cell>
          <cell r="K3">
            <v>6968.43</v>
          </cell>
          <cell r="L3">
            <v>5993.13</v>
          </cell>
          <cell r="M3">
            <v>6217.9</v>
          </cell>
          <cell r="N3">
            <v>7692.38</v>
          </cell>
          <cell r="O3">
            <v>6565.8</v>
          </cell>
        </row>
        <row r="8">
          <cell r="D8">
            <v>435.84210526315792</v>
          </cell>
          <cell r="E8">
            <v>460.05555555555554</v>
          </cell>
          <cell r="F8">
            <v>487.11764705882354</v>
          </cell>
          <cell r="G8">
            <v>487.11764705882354</v>
          </cell>
          <cell r="H8">
            <v>460.05555555555554</v>
          </cell>
          <cell r="I8">
            <v>460.05555555555554</v>
          </cell>
          <cell r="J8">
            <v>460.05555555555554</v>
          </cell>
          <cell r="K8">
            <v>435.84210526315792</v>
          </cell>
          <cell r="L8">
            <v>460.05555555555554</v>
          </cell>
          <cell r="M8">
            <v>460.05555555555554</v>
          </cell>
          <cell r="N8">
            <v>460.05555555555554</v>
          </cell>
          <cell r="O8">
            <v>487.11764705882354</v>
          </cell>
        </row>
        <row r="9">
          <cell r="D9">
            <v>140459.86666666667</v>
          </cell>
          <cell r="E9">
            <v>140459.86666666667</v>
          </cell>
          <cell r="F9">
            <v>140459.86666666667</v>
          </cell>
          <cell r="G9">
            <v>140459.86666666667</v>
          </cell>
          <cell r="H9">
            <v>140459.86666666667</v>
          </cell>
          <cell r="I9">
            <v>210689.8</v>
          </cell>
          <cell r="J9">
            <v>210689.8</v>
          </cell>
          <cell r="K9">
            <v>210689.8</v>
          </cell>
          <cell r="L9">
            <v>210689.8</v>
          </cell>
          <cell r="M9">
            <v>140459.86666666667</v>
          </cell>
          <cell r="N9">
            <v>140459.86666666667</v>
          </cell>
          <cell r="O9">
            <v>140459.86666666667</v>
          </cell>
        </row>
        <row r="10">
          <cell r="D10">
            <v>11882.04</v>
          </cell>
          <cell r="E10">
            <v>10880.52</v>
          </cell>
          <cell r="F10">
            <v>13364.44</v>
          </cell>
          <cell r="G10">
            <v>10045.120000000001</v>
          </cell>
          <cell r="H10">
            <v>10783.33</v>
          </cell>
          <cell r="I10">
            <v>11273.03</v>
          </cell>
          <cell r="J10">
            <v>10877.86</v>
          </cell>
          <cell r="K10">
            <v>11767.61</v>
          </cell>
          <cell r="L10">
            <v>12345.52</v>
          </cell>
          <cell r="M10">
            <v>12575</v>
          </cell>
          <cell r="N10">
            <v>11860.04</v>
          </cell>
          <cell r="O10">
            <v>12385.56</v>
          </cell>
        </row>
        <row r="11">
          <cell r="D11">
            <v>17323.189999999999</v>
          </cell>
          <cell r="E11">
            <v>15449.97</v>
          </cell>
          <cell r="F11">
            <v>17842.5</v>
          </cell>
          <cell r="G11">
            <v>13869.63</v>
          </cell>
          <cell r="H11">
            <v>16203.09</v>
          </cell>
          <cell r="I11">
            <v>17857.57</v>
          </cell>
          <cell r="J11">
            <v>17857.57</v>
          </cell>
          <cell r="K11">
            <v>19651.150000000001</v>
          </cell>
          <cell r="L11">
            <v>17790.009999999998</v>
          </cell>
          <cell r="M11">
            <v>17998.939999999999</v>
          </cell>
          <cell r="N11">
            <v>17336.97</v>
          </cell>
          <cell r="O11">
            <v>17181.2</v>
          </cell>
        </row>
      </sheetData>
      <sheetData sheetId="3"/>
      <sheetData sheetId="4">
        <row r="176">
          <cell r="B176">
            <v>582.4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1"/>
  <sheetViews>
    <sheetView workbookViewId="0">
      <selection activeCell="C5" sqref="C5"/>
    </sheetView>
  </sheetViews>
  <sheetFormatPr defaultRowHeight="12.75"/>
  <cols>
    <col min="1" max="1" width="5.5703125" style="1" bestFit="1" customWidth="1"/>
    <col min="2" max="2" width="18.5703125" style="1" bestFit="1" customWidth="1"/>
    <col min="3" max="3" width="10.28515625" style="1" customWidth="1"/>
    <col min="4" max="4" width="10.28515625" style="1" bestFit="1" customWidth="1"/>
    <col min="5" max="5" width="10.7109375" style="1" customWidth="1"/>
    <col min="6" max="6" width="7.42578125" style="1" customWidth="1"/>
    <col min="7" max="7" width="8" style="1" customWidth="1"/>
    <col min="8" max="8" width="8.28515625" style="1" customWidth="1"/>
    <col min="9" max="9" width="9" style="102" customWidth="1"/>
    <col min="10" max="10" width="10.5703125" style="1" customWidth="1"/>
    <col min="11" max="11" width="11.28515625" style="4" customWidth="1"/>
    <col min="12" max="12" width="9.85546875" style="1" customWidth="1"/>
    <col min="13" max="13" width="10.85546875" style="4" customWidth="1"/>
    <col min="14" max="14" width="17.7109375" style="103" customWidth="1"/>
    <col min="15" max="15" width="8.85546875" style="4" bestFit="1" customWidth="1"/>
    <col min="16" max="16384" width="9.140625" style="1"/>
  </cols>
  <sheetData>
    <row r="1" spans="1:17" ht="63.75">
      <c r="A1" s="200" t="s">
        <v>1</v>
      </c>
      <c r="B1" s="200" t="s">
        <v>2</v>
      </c>
      <c r="C1" s="200" t="s">
        <v>9</v>
      </c>
      <c r="D1" s="200" t="s">
        <v>8</v>
      </c>
      <c r="E1" s="200"/>
      <c r="F1" s="200"/>
      <c r="G1" s="200"/>
      <c r="H1" s="200"/>
      <c r="I1" s="200"/>
      <c r="J1" s="200"/>
      <c r="K1" s="200"/>
      <c r="L1" s="200" t="s">
        <v>13</v>
      </c>
      <c r="M1" s="200"/>
      <c r="N1" s="129" t="s">
        <v>14</v>
      </c>
      <c r="O1" s="200" t="s">
        <v>16</v>
      </c>
    </row>
    <row r="2" spans="1:17" s="4" customFormat="1" ht="210.75">
      <c r="A2" s="200"/>
      <c r="B2" s="200"/>
      <c r="C2" s="200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28" t="s">
        <v>11</v>
      </c>
      <c r="J2" s="3" t="s">
        <v>17</v>
      </c>
      <c r="K2" s="3" t="s">
        <v>10</v>
      </c>
      <c r="L2" s="3" t="s">
        <v>12</v>
      </c>
      <c r="M2" s="3" t="s">
        <v>10</v>
      </c>
      <c r="N2" s="128" t="s">
        <v>15</v>
      </c>
      <c r="O2" s="200"/>
    </row>
    <row r="3" spans="1:17" s="4" customFormat="1">
      <c r="A3" s="2">
        <v>1</v>
      </c>
      <c r="B3" s="2">
        <v>2</v>
      </c>
      <c r="C3" s="2">
        <v>3</v>
      </c>
      <c r="D3" s="2">
        <v>4</v>
      </c>
      <c r="E3" s="10">
        <v>7</v>
      </c>
      <c r="F3" s="2">
        <v>8</v>
      </c>
      <c r="G3" s="2">
        <v>9</v>
      </c>
      <c r="H3" s="2">
        <v>10</v>
      </c>
      <c r="I3" s="129">
        <v>11</v>
      </c>
      <c r="J3" s="2">
        <v>12</v>
      </c>
      <c r="K3" s="13">
        <v>13</v>
      </c>
      <c r="L3" s="2">
        <v>14</v>
      </c>
      <c r="M3" s="13">
        <v>16</v>
      </c>
      <c r="N3" s="129">
        <v>17</v>
      </c>
      <c r="O3" s="13">
        <v>19</v>
      </c>
    </row>
    <row r="4" spans="1:17">
      <c r="A4" s="5">
        <v>1</v>
      </c>
      <c r="B4" s="73" t="s">
        <v>164</v>
      </c>
      <c r="C4" s="7">
        <f>[2]Лист2!$B$176</f>
        <v>582.4</v>
      </c>
      <c r="D4" s="8">
        <f>план!B19</f>
        <v>1.0482</v>
      </c>
      <c r="E4" s="8">
        <f>план!B36</f>
        <v>1.7539</v>
      </c>
      <c r="F4" s="8">
        <f>план!B59</f>
        <v>2.3E-3</v>
      </c>
      <c r="G4" s="8">
        <f>план!B66</f>
        <v>2.8999999999999998E-3</v>
      </c>
      <c r="H4" s="8">
        <f>план!B73</f>
        <v>5.5199999999999999E-2</v>
      </c>
      <c r="I4" s="130">
        <f>план!B79</f>
        <v>7.8600000000000003E-2</v>
      </c>
      <c r="J4" s="8">
        <f>план!B80</f>
        <v>4.1999999999999997E-3</v>
      </c>
      <c r="K4" s="9">
        <f>D4+E4+F4+G4+H4+I4+J4</f>
        <v>2.9453000000000005</v>
      </c>
      <c r="L4" s="8">
        <f>план!B91</f>
        <v>0.86060000000000003</v>
      </c>
      <c r="M4" s="9">
        <f>L4</f>
        <v>0.86060000000000003</v>
      </c>
      <c r="N4" s="131">
        <f>план!B167</f>
        <v>0.69479999999999997</v>
      </c>
      <c r="O4" s="9">
        <f>K4+M4+N4</f>
        <v>4.5007000000000001</v>
      </c>
    </row>
    <row r="5" spans="1:17">
      <c r="A5" s="5"/>
      <c r="B5" s="6"/>
      <c r="C5" s="7"/>
      <c r="D5" s="11">
        <f t="shared" ref="D5:N5" si="0">ROUND(D4/$O$4,3)</f>
        <v>0.23300000000000001</v>
      </c>
      <c r="E5" s="11">
        <f t="shared" si="0"/>
        <v>0.39</v>
      </c>
      <c r="F5" s="11">
        <f t="shared" si="0"/>
        <v>1E-3</v>
      </c>
      <c r="G5" s="11">
        <f t="shared" si="0"/>
        <v>1E-3</v>
      </c>
      <c r="H5" s="11">
        <f t="shared" si="0"/>
        <v>1.2E-2</v>
      </c>
      <c r="I5" s="11">
        <f t="shared" si="0"/>
        <v>1.7000000000000001E-2</v>
      </c>
      <c r="J5" s="11">
        <f t="shared" si="0"/>
        <v>1E-3</v>
      </c>
      <c r="K5" s="12">
        <f>D5+E5+F5+G5+H5+I5+J5</f>
        <v>0.65500000000000003</v>
      </c>
      <c r="L5" s="11">
        <f t="shared" si="0"/>
        <v>0.191</v>
      </c>
      <c r="M5" s="12">
        <f t="shared" si="0"/>
        <v>0.191</v>
      </c>
      <c r="N5" s="132">
        <f t="shared" si="0"/>
        <v>0.154</v>
      </c>
      <c r="O5" s="12"/>
      <c r="P5" s="71">
        <f>N5+M5+K5</f>
        <v>1</v>
      </c>
    </row>
    <row r="6" spans="1:17">
      <c r="A6" s="197" t="s">
        <v>142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9"/>
    </row>
    <row r="7" spans="1:17">
      <c r="A7" s="72"/>
      <c r="B7" s="73" t="s">
        <v>18</v>
      </c>
      <c r="C7" s="74"/>
      <c r="D7" s="74">
        <f>$C$7*D5</f>
        <v>0</v>
      </c>
      <c r="E7" s="75">
        <f t="shared" ref="E7:L7" si="1">$C$7*E5</f>
        <v>0</v>
      </c>
      <c r="F7" s="75">
        <f t="shared" si="1"/>
        <v>0</v>
      </c>
      <c r="G7" s="75">
        <f t="shared" si="1"/>
        <v>0</v>
      </c>
      <c r="H7" s="75">
        <f t="shared" si="1"/>
        <v>0</v>
      </c>
      <c r="I7" s="76">
        <f t="shared" si="1"/>
        <v>0</v>
      </c>
      <c r="J7" s="77">
        <f t="shared" si="1"/>
        <v>0</v>
      </c>
      <c r="K7" s="78">
        <f t="shared" si="1"/>
        <v>0</v>
      </c>
      <c r="L7" s="75">
        <f t="shared" si="1"/>
        <v>0</v>
      </c>
      <c r="M7" s="78">
        <f>$C$7*M5</f>
        <v>0</v>
      </c>
      <c r="N7" s="79">
        <f>$C$7*N5</f>
        <v>0</v>
      </c>
      <c r="O7" s="80"/>
      <c r="P7" s="81"/>
      <c r="Q7" s="82"/>
    </row>
    <row r="8" spans="1:17">
      <c r="A8" s="72"/>
      <c r="B8" s="73" t="s">
        <v>21</v>
      </c>
      <c r="C8" s="77"/>
      <c r="D8" s="74">
        <f t="shared" ref="D8:J8" si="2">$C$8*D5</f>
        <v>0</v>
      </c>
      <c r="E8" s="74">
        <f t="shared" si="2"/>
        <v>0</v>
      </c>
      <c r="F8" s="74">
        <f t="shared" si="2"/>
        <v>0</v>
      </c>
      <c r="G8" s="74">
        <f t="shared" si="2"/>
        <v>0</v>
      </c>
      <c r="H8" s="74">
        <f t="shared" si="2"/>
        <v>0</v>
      </c>
      <c r="I8" s="83">
        <f t="shared" si="2"/>
        <v>0</v>
      </c>
      <c r="J8" s="74">
        <f t="shared" si="2"/>
        <v>0</v>
      </c>
      <c r="K8" s="84">
        <f>$C$8*K5</f>
        <v>0</v>
      </c>
      <c r="L8" s="74">
        <f>$C$8*L5</f>
        <v>0</v>
      </c>
      <c r="M8" s="84">
        <f>$C$8*M5</f>
        <v>0</v>
      </c>
      <c r="N8" s="85">
        <f>$C$8*N5</f>
        <v>0</v>
      </c>
      <c r="O8" s="80"/>
    </row>
    <row r="9" spans="1:17">
      <c r="A9" s="72"/>
      <c r="B9" s="73" t="s">
        <v>143</v>
      </c>
      <c r="C9" s="77">
        <f>D9+E9+F9+G9+H9+I9+J9+L9+N9</f>
        <v>17834.102447600002</v>
      </c>
      <c r="D9" s="74">
        <f>расчет!D31</f>
        <v>1008.86707552</v>
      </c>
      <c r="E9" s="74">
        <f>расчет!D54</f>
        <v>1554.7631720800002</v>
      </c>
      <c r="F9" s="74"/>
      <c r="G9" s="74"/>
      <c r="H9" s="74"/>
      <c r="I9" s="83">
        <v>26.592199999999998</v>
      </c>
      <c r="J9" s="74"/>
      <c r="K9" s="78">
        <f>D9+E9+F9+G9+H9+I9+J9</f>
        <v>2590.2224476000001</v>
      </c>
      <c r="L9" s="74">
        <v>14881</v>
      </c>
      <c r="M9" s="78">
        <f>L9</f>
        <v>14881</v>
      </c>
      <c r="N9" s="79">
        <v>362.88</v>
      </c>
      <c r="O9" s="86">
        <f>C9/C4</f>
        <v>30.621741839972533</v>
      </c>
    </row>
    <row r="10" spans="1:17" hidden="1">
      <c r="A10" s="72"/>
      <c r="B10" s="87" t="s">
        <v>144</v>
      </c>
      <c r="C10" s="77"/>
      <c r="D10" s="88"/>
      <c r="E10" s="88">
        <f>'[1]план-факт'!$E$54</f>
        <v>0</v>
      </c>
      <c r="F10" s="74"/>
      <c r="G10" s="74"/>
      <c r="H10" s="74"/>
      <c r="I10" s="83"/>
      <c r="J10" s="74"/>
      <c r="K10" s="78"/>
      <c r="L10" s="74"/>
      <c r="M10" s="78"/>
      <c r="N10" s="79"/>
      <c r="O10" s="80"/>
    </row>
    <row r="11" spans="1:17" hidden="1">
      <c r="A11" s="72"/>
      <c r="B11" s="87" t="s">
        <v>149</v>
      </c>
      <c r="C11" s="77"/>
      <c r="D11" s="88"/>
      <c r="E11" s="88"/>
      <c r="F11" s="74"/>
      <c r="G11" s="74"/>
      <c r="H11" s="74"/>
      <c r="I11" s="83"/>
      <c r="J11" s="74"/>
      <c r="K11" s="78"/>
      <c r="L11" s="74"/>
      <c r="M11" s="78"/>
      <c r="N11" s="79"/>
      <c r="O11" s="80"/>
    </row>
    <row r="12" spans="1:17" hidden="1">
      <c r="A12" s="72"/>
      <c r="B12" s="87" t="s">
        <v>145</v>
      </c>
      <c r="C12" s="77">
        <f>D12+E12+F12+G12+H12+I12+J12+L12+N12</f>
        <v>2590.2224476000001</v>
      </c>
      <c r="D12" s="88">
        <f>D9-D10</f>
        <v>1008.86707552</v>
      </c>
      <c r="E12" s="88">
        <f>E9-E10-E11</f>
        <v>1554.7631720800002</v>
      </c>
      <c r="F12" s="74"/>
      <c r="G12" s="74"/>
      <c r="H12" s="74"/>
      <c r="I12" s="83">
        <f>I9-I10</f>
        <v>26.592199999999998</v>
      </c>
      <c r="J12" s="74"/>
      <c r="K12" s="78">
        <f>D12+E12+F12+G12+H12+I12+J12</f>
        <v>2590.2224476000001</v>
      </c>
      <c r="L12" s="74"/>
      <c r="M12" s="78">
        <f>L12</f>
        <v>0</v>
      </c>
      <c r="N12" s="79"/>
      <c r="O12" s="80"/>
    </row>
    <row r="13" spans="1:17" hidden="1">
      <c r="A13" s="72"/>
      <c r="B13" s="73" t="s">
        <v>146</v>
      </c>
      <c r="C13" s="74">
        <f>C8-(C9-C12)</f>
        <v>-15243.880000000001</v>
      </c>
      <c r="D13" s="74">
        <f>D8-(D9-D12)</f>
        <v>0</v>
      </c>
      <c r="E13" s="74">
        <f t="shared" ref="E13:N13" si="3">E8-(E9-E12)</f>
        <v>0</v>
      </c>
      <c r="F13" s="74">
        <f t="shared" si="3"/>
        <v>0</v>
      </c>
      <c r="G13" s="74">
        <f t="shared" si="3"/>
        <v>0</v>
      </c>
      <c r="H13" s="74">
        <f t="shared" si="3"/>
        <v>0</v>
      </c>
      <c r="I13" s="83">
        <f t="shared" si="3"/>
        <v>0</v>
      </c>
      <c r="J13" s="74">
        <f t="shared" si="3"/>
        <v>0</v>
      </c>
      <c r="K13" s="84">
        <f t="shared" si="3"/>
        <v>0</v>
      </c>
      <c r="L13" s="74">
        <f t="shared" si="3"/>
        <v>-14881</v>
      </c>
      <c r="M13" s="84">
        <f t="shared" si="3"/>
        <v>-14881</v>
      </c>
      <c r="N13" s="85">
        <f t="shared" si="3"/>
        <v>-362.88</v>
      </c>
      <c r="O13" s="89">
        <f>(C9-C12)/C4</f>
        <v>26.174244505494507</v>
      </c>
      <c r="P13" s="82"/>
    </row>
    <row r="14" spans="1:17">
      <c r="A14" s="72"/>
      <c r="B14" s="73" t="s">
        <v>20</v>
      </c>
      <c r="C14" s="77">
        <f>C8-C9</f>
        <v>-17834.102447600002</v>
      </c>
      <c r="D14" s="74">
        <f>D8-D9</f>
        <v>-1008.86707552</v>
      </c>
      <c r="E14" s="74">
        <f t="shared" ref="E14:J14" si="4">E8-E9</f>
        <v>-1554.7631720800002</v>
      </c>
      <c r="F14" s="74">
        <f t="shared" si="4"/>
        <v>0</v>
      </c>
      <c r="G14" s="74">
        <f t="shared" si="4"/>
        <v>0</v>
      </c>
      <c r="H14" s="74">
        <f t="shared" si="4"/>
        <v>0</v>
      </c>
      <c r="I14" s="83">
        <f t="shared" si="4"/>
        <v>-26.592199999999998</v>
      </c>
      <c r="J14" s="74">
        <f t="shared" si="4"/>
        <v>0</v>
      </c>
      <c r="K14" s="78">
        <f>K8-K9</f>
        <v>-2590.2224476000001</v>
      </c>
      <c r="L14" s="74">
        <f>L8-L9</f>
        <v>-14881</v>
      </c>
      <c r="M14" s="78">
        <f>L14</f>
        <v>-14881</v>
      </c>
      <c r="N14" s="79">
        <f>N8-N9</f>
        <v>-362.88</v>
      </c>
      <c r="O14" s="80">
        <f>K14+M14+N14</f>
        <v>-17834.102447600002</v>
      </c>
      <c r="P14" s="82"/>
    </row>
    <row r="15" spans="1:17">
      <c r="A15" s="197" t="s">
        <v>147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9"/>
    </row>
    <row r="16" spans="1:17">
      <c r="A16" s="72"/>
      <c r="B16" s="73" t="s">
        <v>18</v>
      </c>
      <c r="C16" s="74"/>
      <c r="D16" s="74">
        <f>$C$16*D5</f>
        <v>0</v>
      </c>
      <c r="E16" s="74">
        <f t="shared" ref="E16:N16" si="5">$C$16*E5</f>
        <v>0</v>
      </c>
      <c r="F16" s="74">
        <f t="shared" si="5"/>
        <v>0</v>
      </c>
      <c r="G16" s="74">
        <f t="shared" si="5"/>
        <v>0</v>
      </c>
      <c r="H16" s="74">
        <f t="shared" si="5"/>
        <v>0</v>
      </c>
      <c r="I16" s="83">
        <f t="shared" si="5"/>
        <v>0</v>
      </c>
      <c r="J16" s="74">
        <f t="shared" si="5"/>
        <v>0</v>
      </c>
      <c r="K16" s="84">
        <f t="shared" si="5"/>
        <v>0</v>
      </c>
      <c r="L16" s="74">
        <f t="shared" si="5"/>
        <v>0</v>
      </c>
      <c r="M16" s="84">
        <f t="shared" si="5"/>
        <v>0</v>
      </c>
      <c r="N16" s="85">
        <f t="shared" si="5"/>
        <v>0</v>
      </c>
      <c r="O16" s="80"/>
    </row>
    <row r="17" spans="1:16">
      <c r="A17" s="72"/>
      <c r="B17" s="73" t="s">
        <v>21</v>
      </c>
      <c r="C17" s="77"/>
      <c r="D17" s="74">
        <f>$C$17*D5</f>
        <v>0</v>
      </c>
      <c r="E17" s="74">
        <f t="shared" ref="E17:N17" si="6">$C$17*E5</f>
        <v>0</v>
      </c>
      <c r="F17" s="74">
        <f t="shared" si="6"/>
        <v>0</v>
      </c>
      <c r="G17" s="74">
        <f t="shared" si="6"/>
        <v>0</v>
      </c>
      <c r="H17" s="74">
        <f t="shared" si="6"/>
        <v>0</v>
      </c>
      <c r="I17" s="83">
        <f t="shared" si="6"/>
        <v>0</v>
      </c>
      <c r="J17" s="74">
        <f t="shared" si="6"/>
        <v>0</v>
      </c>
      <c r="K17" s="84">
        <f t="shared" si="6"/>
        <v>0</v>
      </c>
      <c r="L17" s="74">
        <f t="shared" si="6"/>
        <v>0</v>
      </c>
      <c r="M17" s="84">
        <f t="shared" si="6"/>
        <v>0</v>
      </c>
      <c r="N17" s="85">
        <f t="shared" si="6"/>
        <v>0</v>
      </c>
      <c r="O17" s="80"/>
    </row>
    <row r="18" spans="1:16">
      <c r="A18" s="72"/>
      <c r="B18" s="73" t="s">
        <v>148</v>
      </c>
      <c r="C18" s="77">
        <f>D18+E18+F18+G18+H18+I18+J18+L18+N18</f>
        <v>2929.2752156400002</v>
      </c>
      <c r="D18" s="74">
        <f>расчет!F31</f>
        <v>1033.31388184</v>
      </c>
      <c r="E18" s="74">
        <f>расчет!F54</f>
        <v>1439.3132338</v>
      </c>
      <c r="F18" s="74"/>
      <c r="G18" s="74"/>
      <c r="H18" s="74"/>
      <c r="I18" s="83">
        <v>88.638099999999994</v>
      </c>
      <c r="J18" s="74"/>
      <c r="K18" s="78">
        <f>J18+I18+H18+G18+F18+E18+D18</f>
        <v>2561.26521564</v>
      </c>
      <c r="L18" s="74">
        <v>5.13</v>
      </c>
      <c r="M18" s="78">
        <f>L18</f>
        <v>5.13</v>
      </c>
      <c r="N18" s="79">
        <v>362.88</v>
      </c>
      <c r="O18" s="80">
        <f>C18/C4</f>
        <v>5.0296621147664844</v>
      </c>
    </row>
    <row r="19" spans="1:16" hidden="1">
      <c r="A19" s="72"/>
      <c r="B19" s="87" t="s">
        <v>144</v>
      </c>
      <c r="C19" s="77"/>
      <c r="D19" s="88"/>
      <c r="E19" s="88"/>
      <c r="F19" s="74"/>
      <c r="G19" s="74"/>
      <c r="H19" s="74"/>
      <c r="I19" s="83"/>
      <c r="J19" s="74"/>
      <c r="K19" s="78"/>
      <c r="L19" s="74"/>
      <c r="M19" s="78"/>
      <c r="N19" s="79"/>
      <c r="O19" s="80"/>
    </row>
    <row r="20" spans="1:16" hidden="1">
      <c r="A20" s="72"/>
      <c r="B20" s="87" t="s">
        <v>149</v>
      </c>
      <c r="C20" s="77"/>
      <c r="D20" s="88"/>
      <c r="E20" s="88"/>
      <c r="F20" s="74"/>
      <c r="G20" s="74"/>
      <c r="H20" s="74"/>
      <c r="I20" s="83"/>
      <c r="J20" s="74"/>
      <c r="K20" s="78"/>
      <c r="L20" s="74"/>
      <c r="M20" s="78"/>
      <c r="N20" s="79"/>
      <c r="O20" s="80"/>
    </row>
    <row r="21" spans="1:16" hidden="1">
      <c r="A21" s="72"/>
      <c r="B21" s="87" t="s">
        <v>145</v>
      </c>
      <c r="C21" s="77">
        <f>D21+E21+F21+G21+H21+I21+J21+L21+N21</f>
        <v>2561.26521564</v>
      </c>
      <c r="D21" s="88">
        <f>D18-(D19+D20)</f>
        <v>1033.31388184</v>
      </c>
      <c r="E21" s="88">
        <f>E18-E19-E20</f>
        <v>1439.3132338</v>
      </c>
      <c r="F21" s="74"/>
      <c r="G21" s="74"/>
      <c r="H21" s="74"/>
      <c r="I21" s="83">
        <f>I18-I19</f>
        <v>88.638099999999994</v>
      </c>
      <c r="J21" s="74"/>
      <c r="K21" s="78">
        <f>D21+E21+F21+G21+H21+I21+J21</f>
        <v>2561.26521564</v>
      </c>
      <c r="L21" s="74"/>
      <c r="M21" s="78">
        <f>L21</f>
        <v>0</v>
      </c>
      <c r="N21" s="79"/>
      <c r="O21" s="80"/>
    </row>
    <row r="22" spans="1:16" hidden="1">
      <c r="A22" s="72"/>
      <c r="B22" s="73" t="s">
        <v>146</v>
      </c>
      <c r="C22" s="74">
        <f t="shared" ref="C22:N22" si="7">C17-(C18-C21)</f>
        <v>-368.01000000000022</v>
      </c>
      <c r="D22" s="74">
        <f>D17-(D18-D21)</f>
        <v>0</v>
      </c>
      <c r="E22" s="74">
        <f t="shared" si="7"/>
        <v>0</v>
      </c>
      <c r="F22" s="74">
        <f t="shared" si="7"/>
        <v>0</v>
      </c>
      <c r="G22" s="74">
        <f t="shared" si="7"/>
        <v>0</v>
      </c>
      <c r="H22" s="74">
        <f t="shared" si="7"/>
        <v>0</v>
      </c>
      <c r="I22" s="83">
        <f t="shared" si="7"/>
        <v>0</v>
      </c>
      <c r="J22" s="74">
        <f t="shared" si="7"/>
        <v>0</v>
      </c>
      <c r="K22" s="84">
        <f t="shared" si="7"/>
        <v>0</v>
      </c>
      <c r="L22" s="74">
        <f t="shared" si="7"/>
        <v>-5.13</v>
      </c>
      <c r="M22" s="84">
        <f t="shared" si="7"/>
        <v>-5.13</v>
      </c>
      <c r="N22" s="85">
        <f t="shared" si="7"/>
        <v>-362.88</v>
      </c>
      <c r="O22" s="89">
        <f>(C18-C21)/C13</f>
        <v>-2.4141491536275553E-2</v>
      </c>
      <c r="P22" s="82"/>
    </row>
    <row r="23" spans="1:16">
      <c r="A23" s="72"/>
      <c r="B23" s="73" t="s">
        <v>20</v>
      </c>
      <c r="C23" s="77">
        <f>C17-C18</f>
        <v>-2929.2752156400002</v>
      </c>
      <c r="D23" s="74">
        <f>D17-D18</f>
        <v>-1033.31388184</v>
      </c>
      <c r="E23" s="74">
        <f t="shared" ref="E23:J23" si="8">E17-E18</f>
        <v>-1439.3132338</v>
      </c>
      <c r="F23" s="74">
        <f t="shared" si="8"/>
        <v>0</v>
      </c>
      <c r="G23" s="74">
        <f t="shared" si="8"/>
        <v>0</v>
      </c>
      <c r="H23" s="74">
        <f t="shared" si="8"/>
        <v>0</v>
      </c>
      <c r="I23" s="83">
        <f t="shared" si="8"/>
        <v>-88.638099999999994</v>
      </c>
      <c r="J23" s="74">
        <f t="shared" si="8"/>
        <v>0</v>
      </c>
      <c r="K23" s="78">
        <f>K17-K18</f>
        <v>-2561.26521564</v>
      </c>
      <c r="L23" s="74">
        <f>L17-L18</f>
        <v>-5.13</v>
      </c>
      <c r="M23" s="78">
        <f>L23</f>
        <v>-5.13</v>
      </c>
      <c r="N23" s="79">
        <f>N17-N18</f>
        <v>-362.88</v>
      </c>
      <c r="O23" s="80">
        <f>K23+M23+N23</f>
        <v>-2929.2752156400002</v>
      </c>
      <c r="P23" s="82"/>
    </row>
    <row r="24" spans="1:16">
      <c r="A24" s="197" t="s">
        <v>150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9"/>
    </row>
    <row r="25" spans="1:16">
      <c r="A25" s="72"/>
      <c r="B25" s="73" t="s">
        <v>18</v>
      </c>
      <c r="C25" s="74"/>
      <c r="D25" s="74">
        <f>$C$25*D5</f>
        <v>0</v>
      </c>
      <c r="E25" s="74">
        <f t="shared" ref="E25:N25" si="9">$C$25*E5</f>
        <v>0</v>
      </c>
      <c r="F25" s="74">
        <f t="shared" si="9"/>
        <v>0</v>
      </c>
      <c r="G25" s="74">
        <f t="shared" si="9"/>
        <v>0</v>
      </c>
      <c r="H25" s="74">
        <f t="shared" si="9"/>
        <v>0</v>
      </c>
      <c r="I25" s="83">
        <f t="shared" si="9"/>
        <v>0</v>
      </c>
      <c r="J25" s="74">
        <f t="shared" si="9"/>
        <v>0</v>
      </c>
      <c r="K25" s="84">
        <f t="shared" si="9"/>
        <v>0</v>
      </c>
      <c r="L25" s="74">
        <f t="shared" si="9"/>
        <v>0</v>
      </c>
      <c r="M25" s="84">
        <f t="shared" si="9"/>
        <v>0</v>
      </c>
      <c r="N25" s="85">
        <f t="shared" si="9"/>
        <v>0</v>
      </c>
      <c r="O25" s="80"/>
    </row>
    <row r="26" spans="1:16">
      <c r="A26" s="72"/>
      <c r="B26" s="73" t="s">
        <v>21</v>
      </c>
      <c r="C26" s="77"/>
      <c r="D26" s="74">
        <f>$C$26*D5</f>
        <v>0</v>
      </c>
      <c r="E26" s="74">
        <f t="shared" ref="E26:N26" si="10">$C$26*E5</f>
        <v>0</v>
      </c>
      <c r="F26" s="74">
        <f t="shared" si="10"/>
        <v>0</v>
      </c>
      <c r="G26" s="74">
        <f t="shared" si="10"/>
        <v>0</v>
      </c>
      <c r="H26" s="74">
        <f t="shared" si="10"/>
        <v>0</v>
      </c>
      <c r="I26" s="83">
        <f t="shared" si="10"/>
        <v>0</v>
      </c>
      <c r="J26" s="74">
        <f t="shared" si="10"/>
        <v>0</v>
      </c>
      <c r="K26" s="84">
        <f t="shared" si="10"/>
        <v>0</v>
      </c>
      <c r="L26" s="74">
        <f t="shared" si="10"/>
        <v>0</v>
      </c>
      <c r="M26" s="84">
        <f t="shared" si="10"/>
        <v>0</v>
      </c>
      <c r="N26" s="85">
        <f t="shared" si="10"/>
        <v>0</v>
      </c>
      <c r="O26" s="80"/>
    </row>
    <row r="27" spans="1:16">
      <c r="A27" s="72"/>
      <c r="B27" s="73" t="s">
        <v>19</v>
      </c>
      <c r="C27" s="77">
        <f>D27+E27+F27+G27+H27+I27+J27+L27+N27</f>
        <v>3912.7872770700001</v>
      </c>
      <c r="D27" s="74">
        <f>расчет!H31</f>
        <v>1227.7049045600002</v>
      </c>
      <c r="E27" s="74">
        <f>расчет!H54</f>
        <v>1745.16087251</v>
      </c>
      <c r="F27" s="74">
        <f>расчет!B7*0.54</f>
        <v>16.200000000000003</v>
      </c>
      <c r="G27" s="74"/>
      <c r="H27" s="74">
        <f>расчет!B10*'[2]Сиз и ТМЦ'!$B$15</f>
        <v>483.84000000000003</v>
      </c>
      <c r="I27" s="83">
        <v>77.001499999999993</v>
      </c>
      <c r="J27" s="74"/>
      <c r="K27" s="78">
        <f>J27+I27+H27+G27+F27+E27+D27</f>
        <v>3549.90727707</v>
      </c>
      <c r="L27" s="74"/>
      <c r="M27" s="78">
        <f>L27</f>
        <v>0</v>
      </c>
      <c r="N27" s="79">
        <v>362.88</v>
      </c>
      <c r="O27" s="80">
        <f>C27/C4</f>
        <v>6.718384747716347</v>
      </c>
    </row>
    <row r="28" spans="1:16" hidden="1">
      <c r="A28" s="72"/>
      <c r="B28" s="87" t="s">
        <v>144</v>
      </c>
      <c r="C28" s="77"/>
      <c r="D28" s="88"/>
      <c r="E28" s="88"/>
      <c r="F28" s="74"/>
      <c r="G28" s="74"/>
      <c r="H28" s="74"/>
      <c r="I28" s="83"/>
      <c r="J28" s="74"/>
      <c r="K28" s="78"/>
      <c r="L28" s="74"/>
      <c r="M28" s="78"/>
      <c r="N28" s="79"/>
      <c r="O28" s="80"/>
    </row>
    <row r="29" spans="1:16" hidden="1">
      <c r="A29" s="72"/>
      <c r="B29" s="87" t="s">
        <v>0</v>
      </c>
      <c r="C29" s="77"/>
      <c r="D29" s="88"/>
      <c r="E29" s="88"/>
      <c r="F29" s="74"/>
      <c r="G29" s="74"/>
      <c r="H29" s="74"/>
      <c r="I29" s="83"/>
      <c r="J29" s="74"/>
      <c r="K29" s="78"/>
      <c r="L29" s="74"/>
      <c r="M29" s="78"/>
      <c r="N29" s="79"/>
      <c r="O29" s="80"/>
    </row>
    <row r="30" spans="1:16" hidden="1">
      <c r="A30" s="72"/>
      <c r="B30" s="87" t="s">
        <v>145</v>
      </c>
      <c r="C30" s="77">
        <f>D30+E30+F30+G30+H30+I30+J30+L30+N30</f>
        <v>3049.86727707</v>
      </c>
      <c r="D30" s="88">
        <f>D27-D28-D29</f>
        <v>1227.7049045600002</v>
      </c>
      <c r="E30" s="88">
        <f>E27-E28-E29</f>
        <v>1745.16087251</v>
      </c>
      <c r="F30" s="74"/>
      <c r="G30" s="74"/>
      <c r="H30" s="74"/>
      <c r="I30" s="83">
        <f>I27-I28</f>
        <v>77.001499999999993</v>
      </c>
      <c r="J30" s="74"/>
      <c r="K30" s="78">
        <f>D30+E30+F30+G30+H30+I30+J30</f>
        <v>3049.86727707</v>
      </c>
      <c r="L30" s="74"/>
      <c r="M30" s="78">
        <f>L30</f>
        <v>0</v>
      </c>
      <c r="N30" s="79"/>
      <c r="O30" s="80"/>
    </row>
    <row r="31" spans="1:16" hidden="1">
      <c r="A31" s="72"/>
      <c r="B31" s="73" t="s">
        <v>146</v>
      </c>
      <c r="C31" s="74">
        <f t="shared" ref="C31:N31" si="11">C26-(C27-C30)</f>
        <v>-862.92000000000007</v>
      </c>
      <c r="D31" s="74">
        <f t="shared" si="11"/>
        <v>0</v>
      </c>
      <c r="E31" s="74">
        <f t="shared" si="11"/>
        <v>0</v>
      </c>
      <c r="F31" s="74">
        <f t="shared" si="11"/>
        <v>-16.200000000000003</v>
      </c>
      <c r="G31" s="74">
        <f t="shared" si="11"/>
        <v>0</v>
      </c>
      <c r="H31" s="74">
        <f t="shared" si="11"/>
        <v>-483.84000000000003</v>
      </c>
      <c r="I31" s="83">
        <f t="shared" si="11"/>
        <v>0</v>
      </c>
      <c r="J31" s="74">
        <f t="shared" si="11"/>
        <v>0</v>
      </c>
      <c r="K31" s="84">
        <f t="shared" si="11"/>
        <v>-500.03999999999996</v>
      </c>
      <c r="L31" s="74">
        <f t="shared" si="11"/>
        <v>0</v>
      </c>
      <c r="M31" s="84">
        <f t="shared" si="11"/>
        <v>0</v>
      </c>
      <c r="N31" s="85">
        <f t="shared" si="11"/>
        <v>-362.88</v>
      </c>
      <c r="O31" s="89">
        <f>(C27-C30)/C22</f>
        <v>-2.3448275862068955</v>
      </c>
      <c r="P31" s="82"/>
    </row>
    <row r="32" spans="1:16">
      <c r="A32" s="72"/>
      <c r="B32" s="73" t="s">
        <v>20</v>
      </c>
      <c r="C32" s="77">
        <f>C26-C27</f>
        <v>-3912.7872770700001</v>
      </c>
      <c r="D32" s="74">
        <f>D26-D27</f>
        <v>-1227.7049045600002</v>
      </c>
      <c r="E32" s="74">
        <f t="shared" ref="E32:N32" si="12">E26-E27</f>
        <v>-1745.16087251</v>
      </c>
      <c r="F32" s="74">
        <f t="shared" si="12"/>
        <v>-16.200000000000003</v>
      </c>
      <c r="G32" s="74">
        <f t="shared" si="12"/>
        <v>0</v>
      </c>
      <c r="H32" s="74">
        <f t="shared" si="12"/>
        <v>-483.84000000000003</v>
      </c>
      <c r="I32" s="83">
        <f t="shared" si="12"/>
        <v>-77.001499999999993</v>
      </c>
      <c r="J32" s="74">
        <f t="shared" si="12"/>
        <v>0</v>
      </c>
      <c r="K32" s="84">
        <f t="shared" si="12"/>
        <v>-3549.90727707</v>
      </c>
      <c r="L32" s="74">
        <f t="shared" si="12"/>
        <v>0</v>
      </c>
      <c r="M32" s="84">
        <f t="shared" si="12"/>
        <v>0</v>
      </c>
      <c r="N32" s="85">
        <f t="shared" si="12"/>
        <v>-362.88</v>
      </c>
      <c r="O32" s="80">
        <f>K32+M32+N32</f>
        <v>-3912.7872770700001</v>
      </c>
    </row>
    <row r="33" spans="1:16" ht="12.75" customHeight="1">
      <c r="A33" s="197" t="s">
        <v>151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9"/>
    </row>
    <row r="34" spans="1:16">
      <c r="A34" s="72"/>
      <c r="B34" s="73" t="s">
        <v>18</v>
      </c>
      <c r="C34" s="74"/>
      <c r="D34" s="74">
        <f>$C$34*D5</f>
        <v>0</v>
      </c>
      <c r="E34" s="74">
        <f t="shared" ref="E34:N34" si="13">$C$34*E5</f>
        <v>0</v>
      </c>
      <c r="F34" s="74">
        <f t="shared" si="13"/>
        <v>0</v>
      </c>
      <c r="G34" s="74">
        <f t="shared" si="13"/>
        <v>0</v>
      </c>
      <c r="H34" s="74">
        <f t="shared" si="13"/>
        <v>0</v>
      </c>
      <c r="I34" s="83">
        <f t="shared" si="13"/>
        <v>0</v>
      </c>
      <c r="J34" s="74">
        <f t="shared" si="13"/>
        <v>0</v>
      </c>
      <c r="K34" s="84">
        <f t="shared" si="13"/>
        <v>0</v>
      </c>
      <c r="L34" s="74">
        <f t="shared" si="13"/>
        <v>0</v>
      </c>
      <c r="M34" s="84">
        <f t="shared" si="13"/>
        <v>0</v>
      </c>
      <c r="N34" s="85">
        <f t="shared" si="13"/>
        <v>0</v>
      </c>
      <c r="O34" s="80"/>
    </row>
    <row r="35" spans="1:16">
      <c r="A35" s="72"/>
      <c r="B35" s="73" t="s">
        <v>21</v>
      </c>
      <c r="C35" s="77"/>
      <c r="D35" s="74">
        <f>$C$35*D5</f>
        <v>0</v>
      </c>
      <c r="E35" s="74">
        <f t="shared" ref="E35:N35" si="14">$C$35*E5</f>
        <v>0</v>
      </c>
      <c r="F35" s="74">
        <f t="shared" si="14"/>
        <v>0</v>
      </c>
      <c r="G35" s="74">
        <f t="shared" si="14"/>
        <v>0</v>
      </c>
      <c r="H35" s="74">
        <f t="shared" si="14"/>
        <v>0</v>
      </c>
      <c r="I35" s="83">
        <f t="shared" si="14"/>
        <v>0</v>
      </c>
      <c r="J35" s="74">
        <f t="shared" si="14"/>
        <v>0</v>
      </c>
      <c r="K35" s="84">
        <f t="shared" si="14"/>
        <v>0</v>
      </c>
      <c r="L35" s="74">
        <f t="shared" si="14"/>
        <v>0</v>
      </c>
      <c r="M35" s="84">
        <f t="shared" si="14"/>
        <v>0</v>
      </c>
      <c r="N35" s="85">
        <f t="shared" si="14"/>
        <v>0</v>
      </c>
      <c r="O35" s="80"/>
    </row>
    <row r="36" spans="1:16">
      <c r="A36" s="72"/>
      <c r="B36" s="73" t="s">
        <v>19</v>
      </c>
      <c r="C36" s="77">
        <f>D36+E36+F36+G36+H36+I36+J36+L36+N36</f>
        <v>2657.4591487000002</v>
      </c>
      <c r="D36" s="74">
        <f>расчет!J31</f>
        <v>952.53571841999997</v>
      </c>
      <c r="E36" s="74">
        <f>расчет!J54</f>
        <v>1243.4379302799998</v>
      </c>
      <c r="F36" s="74"/>
      <c r="G36" s="74">
        <f>расчет!B7*0.73</f>
        <v>21.9</v>
      </c>
      <c r="H36" s="74"/>
      <c r="I36" s="83">
        <v>76.705500000000001</v>
      </c>
      <c r="J36" s="74"/>
      <c r="K36" s="78">
        <f>D36+J36+I36+H36+G36+F36+E36</f>
        <v>2294.5791486999997</v>
      </c>
      <c r="L36" s="74"/>
      <c r="M36" s="78">
        <f>L36</f>
        <v>0</v>
      </c>
      <c r="N36" s="79">
        <v>362.88</v>
      </c>
      <c r="O36" s="80">
        <f>C36/C4</f>
        <v>4.5629449668612647</v>
      </c>
    </row>
    <row r="37" spans="1:16" hidden="1">
      <c r="A37" s="72"/>
      <c r="B37" s="87" t="s">
        <v>144</v>
      </c>
      <c r="C37" s="77"/>
      <c r="D37" s="88">
        <f>'[1]план-факт'!$K$31</f>
        <v>1556.1378999999999</v>
      </c>
      <c r="E37" s="88">
        <f>'[1]план-факт'!$K$54</f>
        <v>0</v>
      </c>
      <c r="F37" s="74"/>
      <c r="G37" s="74"/>
      <c r="H37" s="74"/>
      <c r="I37" s="83">
        <v>105.0692</v>
      </c>
      <c r="J37" s="74"/>
      <c r="K37" s="78"/>
      <c r="L37" s="74"/>
      <c r="M37" s="78"/>
      <c r="N37" s="79"/>
      <c r="O37" s="80"/>
    </row>
    <row r="38" spans="1:16" hidden="1">
      <c r="A38" s="72"/>
      <c r="B38" s="87" t="s">
        <v>0</v>
      </c>
      <c r="C38" s="77"/>
      <c r="D38" s="88">
        <f>'[1]план-факт'!$J$30</f>
        <v>105.5821</v>
      </c>
      <c r="E38" s="88">
        <f>'[1]план-факт'!$J$52</f>
        <v>0</v>
      </c>
      <c r="F38" s="74"/>
      <c r="G38" s="74"/>
      <c r="H38" s="74"/>
      <c r="I38" s="83"/>
      <c r="J38" s="74"/>
      <c r="K38" s="78"/>
      <c r="L38" s="74"/>
      <c r="M38" s="78"/>
      <c r="N38" s="79"/>
      <c r="O38" s="80"/>
    </row>
    <row r="39" spans="1:16" hidden="1">
      <c r="A39" s="72"/>
      <c r="B39" s="87" t="s">
        <v>145</v>
      </c>
      <c r="C39" s="77">
        <f>D39+E39+F39+G39+H39+I39+J39+L39+N39</f>
        <v>505.88994869999988</v>
      </c>
      <c r="D39" s="88">
        <f>D36-D37-D38</f>
        <v>-709.18428157999995</v>
      </c>
      <c r="E39" s="88">
        <f>E36-E37-E38</f>
        <v>1243.4379302799998</v>
      </c>
      <c r="F39" s="74"/>
      <c r="G39" s="74"/>
      <c r="H39" s="74"/>
      <c r="I39" s="83">
        <f>I36-I37</f>
        <v>-28.363699999999994</v>
      </c>
      <c r="J39" s="74"/>
      <c r="K39" s="78">
        <f>D39+E39+F39+G39+H39+I39+J39</f>
        <v>505.88994869999988</v>
      </c>
      <c r="L39" s="74"/>
      <c r="M39" s="78">
        <f>L39</f>
        <v>0</v>
      </c>
      <c r="N39" s="79"/>
      <c r="O39" s="80"/>
    </row>
    <row r="40" spans="1:16" hidden="1">
      <c r="A40" s="72"/>
      <c r="B40" s="73" t="s">
        <v>146</v>
      </c>
      <c r="C40" s="74">
        <f t="shared" ref="C40:N40" si="15">C35-(C36-C39)</f>
        <v>-2151.5692000000004</v>
      </c>
      <c r="D40" s="74">
        <f t="shared" si="15"/>
        <v>-1661.7199999999998</v>
      </c>
      <c r="E40" s="74">
        <f t="shared" si="15"/>
        <v>0</v>
      </c>
      <c r="F40" s="74">
        <f t="shared" si="15"/>
        <v>0</v>
      </c>
      <c r="G40" s="74">
        <f t="shared" si="15"/>
        <v>-21.9</v>
      </c>
      <c r="H40" s="74">
        <f t="shared" si="15"/>
        <v>0</v>
      </c>
      <c r="I40" s="83">
        <f t="shared" si="15"/>
        <v>-105.0692</v>
      </c>
      <c r="J40" s="74">
        <f t="shared" si="15"/>
        <v>0</v>
      </c>
      <c r="K40" s="84">
        <f t="shared" si="15"/>
        <v>-1788.6891999999998</v>
      </c>
      <c r="L40" s="74">
        <f t="shared" si="15"/>
        <v>0</v>
      </c>
      <c r="M40" s="84">
        <f t="shared" si="15"/>
        <v>0</v>
      </c>
      <c r="N40" s="85">
        <f t="shared" si="15"/>
        <v>-362.88</v>
      </c>
      <c r="O40" s="89">
        <f>(C36-C39)/C31</f>
        <v>-2.493358828164836</v>
      </c>
      <c r="P40" s="82"/>
    </row>
    <row r="41" spans="1:16">
      <c r="A41" s="72"/>
      <c r="B41" s="73" t="s">
        <v>20</v>
      </c>
      <c r="C41" s="77">
        <f>C35-C36</f>
        <v>-2657.4591487000002</v>
      </c>
      <c r="D41" s="74">
        <f>D35-D36</f>
        <v>-952.53571841999997</v>
      </c>
      <c r="E41" s="74">
        <f t="shared" ref="E41:J41" si="16">E35-E36</f>
        <v>-1243.4379302799998</v>
      </c>
      <c r="F41" s="74">
        <f t="shared" si="16"/>
        <v>0</v>
      </c>
      <c r="G41" s="74">
        <f t="shared" si="16"/>
        <v>-21.9</v>
      </c>
      <c r="H41" s="74">
        <f t="shared" si="16"/>
        <v>0</v>
      </c>
      <c r="I41" s="83">
        <f t="shared" si="16"/>
        <v>-76.705500000000001</v>
      </c>
      <c r="J41" s="74">
        <f t="shared" si="16"/>
        <v>0</v>
      </c>
      <c r="K41" s="78">
        <f>K35-K36</f>
        <v>-2294.5791486999997</v>
      </c>
      <c r="L41" s="74">
        <f>L35-L36</f>
        <v>0</v>
      </c>
      <c r="M41" s="78">
        <f>L41</f>
        <v>0</v>
      </c>
      <c r="N41" s="79">
        <f>N35-N36</f>
        <v>-362.88</v>
      </c>
      <c r="O41" s="80">
        <f>K41+M41+N41</f>
        <v>-2657.4591486999998</v>
      </c>
    </row>
    <row r="42" spans="1:16" ht="12.75" customHeight="1">
      <c r="A42" s="197" t="s">
        <v>152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1:16">
      <c r="A43" s="72"/>
      <c r="B43" s="73" t="s">
        <v>18</v>
      </c>
      <c r="C43" s="74"/>
      <c r="D43" s="74">
        <f>$C$43*D5</f>
        <v>0</v>
      </c>
      <c r="E43" s="74">
        <f t="shared" ref="E43:N43" si="17">$C$43*E5</f>
        <v>0</v>
      </c>
      <c r="F43" s="74">
        <f t="shared" si="17"/>
        <v>0</v>
      </c>
      <c r="G43" s="74">
        <f t="shared" si="17"/>
        <v>0</v>
      </c>
      <c r="H43" s="74">
        <f t="shared" si="17"/>
        <v>0</v>
      </c>
      <c r="I43" s="83">
        <f t="shared" si="17"/>
        <v>0</v>
      </c>
      <c r="J43" s="74">
        <f t="shared" si="17"/>
        <v>0</v>
      </c>
      <c r="K43" s="84">
        <f t="shared" si="17"/>
        <v>0</v>
      </c>
      <c r="L43" s="74">
        <f t="shared" si="17"/>
        <v>0</v>
      </c>
      <c r="M43" s="84">
        <f t="shared" si="17"/>
        <v>0</v>
      </c>
      <c r="N43" s="85">
        <f t="shared" si="17"/>
        <v>0</v>
      </c>
      <c r="O43" s="80"/>
    </row>
    <row r="44" spans="1:16">
      <c r="A44" s="72"/>
      <c r="B44" s="73" t="s">
        <v>21</v>
      </c>
      <c r="C44" s="77"/>
      <c r="D44" s="74">
        <f>$C$44*D5</f>
        <v>0</v>
      </c>
      <c r="E44" s="74">
        <f t="shared" ref="E44:N44" si="18">$C$44*E5</f>
        <v>0</v>
      </c>
      <c r="F44" s="74">
        <f t="shared" si="18"/>
        <v>0</v>
      </c>
      <c r="G44" s="74">
        <f t="shared" si="18"/>
        <v>0</v>
      </c>
      <c r="H44" s="74">
        <f t="shared" si="18"/>
        <v>0</v>
      </c>
      <c r="I44" s="83">
        <f t="shared" si="18"/>
        <v>0</v>
      </c>
      <c r="J44" s="74">
        <f t="shared" si="18"/>
        <v>0</v>
      </c>
      <c r="K44" s="84">
        <f t="shared" si="18"/>
        <v>0</v>
      </c>
      <c r="L44" s="74">
        <f t="shared" si="18"/>
        <v>0</v>
      </c>
      <c r="M44" s="84">
        <f t="shared" si="18"/>
        <v>0</v>
      </c>
      <c r="N44" s="85">
        <f t="shared" si="18"/>
        <v>0</v>
      </c>
      <c r="O44" s="80"/>
    </row>
    <row r="45" spans="1:16">
      <c r="A45" s="72"/>
      <c r="B45" s="73" t="s">
        <v>19</v>
      </c>
      <c r="C45" s="77">
        <f>D45+E45+F45+G45+H45+I45+J45+L45+N45</f>
        <v>2855.0791008499996</v>
      </c>
      <c r="D45" s="74">
        <f>расчет!L31</f>
        <v>1049.3120490699998</v>
      </c>
      <c r="E45" s="74">
        <f>расчет!L54</f>
        <v>1396.3279517799999</v>
      </c>
      <c r="F45" s="74"/>
      <c r="G45" s="74"/>
      <c r="H45" s="74"/>
      <c r="I45" s="83">
        <v>46.559100000000001</v>
      </c>
      <c r="J45" s="74"/>
      <c r="K45" s="78">
        <f>J45+I45+H45+G45+F45+E45+D45</f>
        <v>2492.1991008499999</v>
      </c>
      <c r="L45" s="74"/>
      <c r="M45" s="78">
        <f>L45</f>
        <v>0</v>
      </c>
      <c r="N45" s="79">
        <v>362.88</v>
      </c>
      <c r="O45" s="80">
        <f>C45/C4</f>
        <v>4.9022649396462903</v>
      </c>
    </row>
    <row r="46" spans="1:16">
      <c r="A46" s="72"/>
      <c r="B46" s="73" t="s">
        <v>20</v>
      </c>
      <c r="C46" s="77">
        <f t="shared" ref="C46:N46" si="19">C44-C45</f>
        <v>-2855.0791008499996</v>
      </c>
      <c r="D46" s="74">
        <f t="shared" si="19"/>
        <v>-1049.3120490699998</v>
      </c>
      <c r="E46" s="74">
        <f t="shared" si="19"/>
        <v>-1396.3279517799999</v>
      </c>
      <c r="F46" s="74">
        <f t="shared" si="19"/>
        <v>0</v>
      </c>
      <c r="G46" s="74">
        <f t="shared" si="19"/>
        <v>0</v>
      </c>
      <c r="H46" s="74">
        <f t="shared" si="19"/>
        <v>0</v>
      </c>
      <c r="I46" s="83">
        <f t="shared" si="19"/>
        <v>-46.559100000000001</v>
      </c>
      <c r="J46" s="74">
        <f t="shared" si="19"/>
        <v>0</v>
      </c>
      <c r="K46" s="78">
        <f t="shared" si="19"/>
        <v>-2492.1991008499999</v>
      </c>
      <c r="L46" s="74">
        <f t="shared" si="19"/>
        <v>0</v>
      </c>
      <c r="M46" s="78">
        <f t="shared" si="19"/>
        <v>0</v>
      </c>
      <c r="N46" s="79">
        <f t="shared" si="19"/>
        <v>-362.88</v>
      </c>
      <c r="O46" s="80">
        <f>N46+M46+K46</f>
        <v>-2855.07910085</v>
      </c>
    </row>
    <row r="47" spans="1:16">
      <c r="A47" s="197" t="s">
        <v>165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9"/>
    </row>
    <row r="48" spans="1:16">
      <c r="A48" s="72"/>
      <c r="B48" s="73" t="s">
        <v>18</v>
      </c>
      <c r="C48" s="74"/>
      <c r="D48" s="74">
        <f>$C$48*D5</f>
        <v>0</v>
      </c>
      <c r="E48" s="74">
        <f t="shared" ref="E48:N48" si="20">$C$48*E5</f>
        <v>0</v>
      </c>
      <c r="F48" s="74">
        <f t="shared" si="20"/>
        <v>0</v>
      </c>
      <c r="G48" s="74">
        <f t="shared" si="20"/>
        <v>0</v>
      </c>
      <c r="H48" s="74">
        <f t="shared" si="20"/>
        <v>0</v>
      </c>
      <c r="I48" s="83">
        <f t="shared" si="20"/>
        <v>0</v>
      </c>
      <c r="J48" s="74">
        <f t="shared" si="20"/>
        <v>0</v>
      </c>
      <c r="K48" s="84">
        <f t="shared" si="20"/>
        <v>0</v>
      </c>
      <c r="L48" s="74">
        <f t="shared" si="20"/>
        <v>0</v>
      </c>
      <c r="M48" s="84">
        <f t="shared" si="20"/>
        <v>0</v>
      </c>
      <c r="N48" s="85">
        <f t="shared" si="20"/>
        <v>0</v>
      </c>
      <c r="O48" s="80"/>
    </row>
    <row r="49" spans="1:15">
      <c r="A49" s="72"/>
      <c r="B49" s="73" t="s">
        <v>21</v>
      </c>
      <c r="C49" s="77"/>
      <c r="D49" s="74">
        <f>$C$49*D5</f>
        <v>0</v>
      </c>
      <c r="E49" s="74">
        <f t="shared" ref="E49:N49" si="21">$C$49*E5</f>
        <v>0</v>
      </c>
      <c r="F49" s="74">
        <f t="shared" si="21"/>
        <v>0</v>
      </c>
      <c r="G49" s="74">
        <f t="shared" si="21"/>
        <v>0</v>
      </c>
      <c r="H49" s="74">
        <f t="shared" si="21"/>
        <v>0</v>
      </c>
      <c r="I49" s="83">
        <f t="shared" si="21"/>
        <v>0</v>
      </c>
      <c r="J49" s="74">
        <f t="shared" si="21"/>
        <v>0</v>
      </c>
      <c r="K49" s="84">
        <f t="shared" si="21"/>
        <v>0</v>
      </c>
      <c r="L49" s="74">
        <f t="shared" si="21"/>
        <v>0</v>
      </c>
      <c r="M49" s="84">
        <f t="shared" si="21"/>
        <v>0</v>
      </c>
      <c r="N49" s="85">
        <f t="shared" si="21"/>
        <v>0</v>
      </c>
      <c r="O49" s="80"/>
    </row>
    <row r="50" spans="1:15">
      <c r="A50" s="72"/>
      <c r="B50" s="73" t="s">
        <v>19</v>
      </c>
      <c r="C50" s="77">
        <f>D50+E50+F50+G50+H50+I50+J50+L50+N50</f>
        <v>2957.1206424400002</v>
      </c>
      <c r="D50" s="74">
        <f>расчет!N31</f>
        <v>1077.9869480300001</v>
      </c>
      <c r="E50" s="74">
        <f>расчет!N54</f>
        <v>1562.09779441</v>
      </c>
      <c r="F50" s="74"/>
      <c r="G50" s="74"/>
      <c r="H50" s="74"/>
      <c r="I50" s="83">
        <v>77.235900000000001</v>
      </c>
      <c r="J50" s="74"/>
      <c r="K50" s="78">
        <f>J50+I50+H50+G50+F50+E50+D50</f>
        <v>2717.32064244</v>
      </c>
      <c r="L50" s="74"/>
      <c r="M50" s="78">
        <f>L50</f>
        <v>0</v>
      </c>
      <c r="N50" s="79">
        <v>239.8</v>
      </c>
      <c r="O50" s="80"/>
    </row>
    <row r="51" spans="1:15">
      <c r="A51" s="72"/>
      <c r="B51" s="73" t="s">
        <v>20</v>
      </c>
      <c r="C51" s="77">
        <f>C49-C50</f>
        <v>-2957.1206424400002</v>
      </c>
      <c r="D51" s="74">
        <f>D49-D50</f>
        <v>-1077.9869480300001</v>
      </c>
      <c r="E51" s="74">
        <f t="shared" ref="E51:K51" si="22">E49-E50</f>
        <v>-1562.09779441</v>
      </c>
      <c r="F51" s="74">
        <f t="shared" si="22"/>
        <v>0</v>
      </c>
      <c r="G51" s="74">
        <f t="shared" si="22"/>
        <v>0</v>
      </c>
      <c r="H51" s="74">
        <f t="shared" si="22"/>
        <v>0</v>
      </c>
      <c r="I51" s="83">
        <f t="shared" si="22"/>
        <v>-77.235900000000001</v>
      </c>
      <c r="J51" s="74">
        <f t="shared" si="22"/>
        <v>0</v>
      </c>
      <c r="K51" s="78">
        <f t="shared" si="22"/>
        <v>-2717.32064244</v>
      </c>
      <c r="L51" s="74">
        <f>L49-L50</f>
        <v>0</v>
      </c>
      <c r="M51" s="78">
        <f t="shared" ref="M51" si="23">M49-M50</f>
        <v>0</v>
      </c>
      <c r="N51" s="79">
        <f>N49-N50</f>
        <v>-239.8</v>
      </c>
      <c r="O51" s="80"/>
    </row>
    <row r="52" spans="1:15">
      <c r="A52" s="197" t="s">
        <v>166</v>
      </c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9"/>
    </row>
    <row r="53" spans="1:15">
      <c r="A53" s="72"/>
      <c r="B53" s="73" t="s">
        <v>18</v>
      </c>
      <c r="C53" s="74"/>
      <c r="D53" s="74">
        <f>$C$53*D5</f>
        <v>0</v>
      </c>
      <c r="E53" s="74">
        <f t="shared" ref="E53:N53" si="24">$C$53*E5</f>
        <v>0</v>
      </c>
      <c r="F53" s="74">
        <f t="shared" si="24"/>
        <v>0</v>
      </c>
      <c r="G53" s="74">
        <f t="shared" si="24"/>
        <v>0</v>
      </c>
      <c r="H53" s="74">
        <f t="shared" si="24"/>
        <v>0</v>
      </c>
      <c r="I53" s="83">
        <f t="shared" si="24"/>
        <v>0</v>
      </c>
      <c r="J53" s="74">
        <f t="shared" si="24"/>
        <v>0</v>
      </c>
      <c r="K53" s="84">
        <f t="shared" si="24"/>
        <v>0</v>
      </c>
      <c r="L53" s="74">
        <f t="shared" si="24"/>
        <v>0</v>
      </c>
      <c r="M53" s="84">
        <f t="shared" si="24"/>
        <v>0</v>
      </c>
      <c r="N53" s="85">
        <f t="shared" si="24"/>
        <v>0</v>
      </c>
      <c r="O53" s="80"/>
    </row>
    <row r="54" spans="1:15">
      <c r="A54" s="72"/>
      <c r="B54" s="73" t="s">
        <v>21</v>
      </c>
      <c r="C54" s="77"/>
      <c r="D54" s="74">
        <f>$C$54*D5</f>
        <v>0</v>
      </c>
      <c r="E54" s="74">
        <f t="shared" ref="E54:N54" si="25">$C$54*E5</f>
        <v>0</v>
      </c>
      <c r="F54" s="74">
        <f t="shared" si="25"/>
        <v>0</v>
      </c>
      <c r="G54" s="74">
        <f t="shared" si="25"/>
        <v>0</v>
      </c>
      <c r="H54" s="74">
        <f t="shared" si="25"/>
        <v>0</v>
      </c>
      <c r="I54" s="83">
        <f t="shared" si="25"/>
        <v>0</v>
      </c>
      <c r="J54" s="74">
        <f t="shared" si="25"/>
        <v>0</v>
      </c>
      <c r="K54" s="84">
        <f t="shared" si="25"/>
        <v>0</v>
      </c>
      <c r="L54" s="74">
        <f t="shared" si="25"/>
        <v>0</v>
      </c>
      <c r="M54" s="84">
        <f t="shared" si="25"/>
        <v>0</v>
      </c>
      <c r="N54" s="85">
        <f t="shared" si="25"/>
        <v>0</v>
      </c>
      <c r="O54" s="80"/>
    </row>
    <row r="55" spans="1:15">
      <c r="A55" s="72"/>
      <c r="B55" s="73" t="s">
        <v>19</v>
      </c>
      <c r="C55" s="77">
        <f>D55+E55+F55+G55+H55+I55+J55+L55+N55</f>
        <v>2409.3694961399997</v>
      </c>
      <c r="D55" s="74">
        <f>расчет!P31</f>
        <v>956.74650170000007</v>
      </c>
      <c r="E55" s="74">
        <f>расчет!P54</f>
        <v>1332.0345944400001</v>
      </c>
      <c r="F55" s="74"/>
      <c r="G55" s="74"/>
      <c r="H55" s="74"/>
      <c r="I55" s="83">
        <v>30.388400000000001</v>
      </c>
      <c r="J55" s="74"/>
      <c r="K55" s="78">
        <f>J55+I55+H55+G55+F55+E55+D55</f>
        <v>2319.1694961400003</v>
      </c>
      <c r="L55" s="74"/>
      <c r="M55" s="78">
        <f>L55</f>
        <v>0</v>
      </c>
      <c r="N55" s="79">
        <v>90.2</v>
      </c>
      <c r="O55" s="80"/>
    </row>
    <row r="56" spans="1:15">
      <c r="A56" s="72"/>
      <c r="B56" s="73" t="s">
        <v>20</v>
      </c>
      <c r="C56" s="77">
        <f>C54-C55</f>
        <v>-2409.3694961399997</v>
      </c>
      <c r="D56" s="74">
        <f>D54-D55</f>
        <v>-956.74650170000007</v>
      </c>
      <c r="E56" s="74">
        <f t="shared" ref="E56:K56" si="26">E54-E55</f>
        <v>-1332.0345944400001</v>
      </c>
      <c r="F56" s="74">
        <f t="shared" si="26"/>
        <v>0</v>
      </c>
      <c r="G56" s="74">
        <f t="shared" si="26"/>
        <v>0</v>
      </c>
      <c r="H56" s="74">
        <f t="shared" si="26"/>
        <v>0</v>
      </c>
      <c r="I56" s="83">
        <f t="shared" si="26"/>
        <v>-30.388400000000001</v>
      </c>
      <c r="J56" s="74">
        <f t="shared" si="26"/>
        <v>0</v>
      </c>
      <c r="K56" s="78">
        <f t="shared" si="26"/>
        <v>-2319.1694961400003</v>
      </c>
      <c r="L56" s="74">
        <f>L54-L55</f>
        <v>0</v>
      </c>
      <c r="M56" s="78">
        <f t="shared" ref="M56" si="27">M54-M55</f>
        <v>0</v>
      </c>
      <c r="N56" s="79">
        <f>N54-N55</f>
        <v>-90.2</v>
      </c>
      <c r="O56" s="80"/>
    </row>
    <row r="57" spans="1:15">
      <c r="A57" s="197" t="s">
        <v>167</v>
      </c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9"/>
    </row>
    <row r="58" spans="1:15">
      <c r="A58" s="72"/>
      <c r="B58" s="73" t="s">
        <v>18</v>
      </c>
      <c r="C58" s="74"/>
      <c r="D58" s="74">
        <f>$C$58*D5</f>
        <v>0</v>
      </c>
      <c r="E58" s="74">
        <f t="shared" ref="E58:N58" si="28">$C$58*E5</f>
        <v>0</v>
      </c>
      <c r="F58" s="74">
        <f t="shared" si="28"/>
        <v>0</v>
      </c>
      <c r="G58" s="74">
        <f t="shared" si="28"/>
        <v>0</v>
      </c>
      <c r="H58" s="74">
        <f t="shared" si="28"/>
        <v>0</v>
      </c>
      <c r="I58" s="83">
        <f t="shared" si="28"/>
        <v>0</v>
      </c>
      <c r="J58" s="74">
        <f t="shared" si="28"/>
        <v>0</v>
      </c>
      <c r="K58" s="84">
        <f t="shared" si="28"/>
        <v>0</v>
      </c>
      <c r="L58" s="74">
        <f t="shared" si="28"/>
        <v>0</v>
      </c>
      <c r="M58" s="84">
        <f t="shared" si="28"/>
        <v>0</v>
      </c>
      <c r="N58" s="85">
        <f t="shared" si="28"/>
        <v>0</v>
      </c>
      <c r="O58" s="80"/>
    </row>
    <row r="59" spans="1:15">
      <c r="A59" s="72"/>
      <c r="B59" s="73" t="s">
        <v>21</v>
      </c>
      <c r="C59" s="77"/>
      <c r="D59" s="74">
        <f>$C$59*D5</f>
        <v>0</v>
      </c>
      <c r="E59" s="74">
        <f t="shared" ref="E59:N59" si="29">$C$59*E5</f>
        <v>0</v>
      </c>
      <c r="F59" s="74">
        <f t="shared" si="29"/>
        <v>0</v>
      </c>
      <c r="G59" s="74">
        <f t="shared" si="29"/>
        <v>0</v>
      </c>
      <c r="H59" s="74">
        <f t="shared" si="29"/>
        <v>0</v>
      </c>
      <c r="I59" s="83">
        <f t="shared" si="29"/>
        <v>0</v>
      </c>
      <c r="J59" s="74">
        <f t="shared" si="29"/>
        <v>0</v>
      </c>
      <c r="K59" s="84">
        <f t="shared" si="29"/>
        <v>0</v>
      </c>
      <c r="L59" s="74">
        <f t="shared" si="29"/>
        <v>0</v>
      </c>
      <c r="M59" s="84">
        <f t="shared" si="29"/>
        <v>0</v>
      </c>
      <c r="N59" s="85">
        <f t="shared" si="29"/>
        <v>0</v>
      </c>
      <c r="O59" s="80"/>
    </row>
    <row r="60" spans="1:15">
      <c r="A60" s="72"/>
      <c r="B60" s="73" t="s">
        <v>19</v>
      </c>
      <c r="C60" s="77">
        <f>D60+E60+F60+G60+H60+I60+J60+L60+N60</f>
        <v>2867.9162460000002</v>
      </c>
      <c r="D60" s="74">
        <f>расчет!R31</f>
        <v>1055.606014</v>
      </c>
      <c r="E60" s="74">
        <f>расчет!R54</f>
        <v>1629.9626320000002</v>
      </c>
      <c r="F60" s="74"/>
      <c r="G60" s="74"/>
      <c r="H60" s="74"/>
      <c r="I60" s="83">
        <v>30.547599999999999</v>
      </c>
      <c r="J60" s="74"/>
      <c r="K60" s="78">
        <f>J60+I60+H60+G60+F60+E60+D60</f>
        <v>2716.1162460000005</v>
      </c>
      <c r="L60" s="74"/>
      <c r="M60" s="78">
        <f>L60</f>
        <v>0</v>
      </c>
      <c r="N60" s="79">
        <v>151.80000000000001</v>
      </c>
      <c r="O60" s="80"/>
    </row>
    <row r="61" spans="1:15">
      <c r="A61" s="72"/>
      <c r="B61" s="73" t="s">
        <v>20</v>
      </c>
      <c r="C61" s="77">
        <f>C59-C60</f>
        <v>-2867.9162460000002</v>
      </c>
      <c r="D61" s="74">
        <f>D59-D60</f>
        <v>-1055.606014</v>
      </c>
      <c r="E61" s="74">
        <f t="shared" ref="E61:K61" si="30">E59-E60</f>
        <v>-1629.9626320000002</v>
      </c>
      <c r="F61" s="74">
        <f t="shared" si="30"/>
        <v>0</v>
      </c>
      <c r="G61" s="74">
        <f t="shared" si="30"/>
        <v>0</v>
      </c>
      <c r="H61" s="74">
        <f t="shared" si="30"/>
        <v>0</v>
      </c>
      <c r="I61" s="83">
        <f t="shared" si="30"/>
        <v>-30.547599999999999</v>
      </c>
      <c r="J61" s="74">
        <f t="shared" si="30"/>
        <v>0</v>
      </c>
      <c r="K61" s="78">
        <f t="shared" si="30"/>
        <v>-2716.1162460000005</v>
      </c>
      <c r="L61" s="74">
        <f>L59-L60</f>
        <v>0</v>
      </c>
      <c r="M61" s="78">
        <f t="shared" ref="M61" si="31">M59-M60</f>
        <v>0</v>
      </c>
      <c r="N61" s="79">
        <f>N59-N60</f>
        <v>-151.80000000000001</v>
      </c>
      <c r="O61" s="80"/>
    </row>
    <row r="62" spans="1:15">
      <c r="A62" s="197" t="s">
        <v>168</v>
      </c>
      <c r="B62" s="198"/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9"/>
    </row>
    <row r="63" spans="1:15">
      <c r="A63" s="72"/>
      <c r="B63" s="73" t="s">
        <v>18</v>
      </c>
      <c r="C63" s="74"/>
      <c r="D63" s="74">
        <f>$C$63*D5</f>
        <v>0</v>
      </c>
      <c r="E63" s="74">
        <f t="shared" ref="E63:N63" si="32">$C$63*E5</f>
        <v>0</v>
      </c>
      <c r="F63" s="74">
        <f t="shared" si="32"/>
        <v>0</v>
      </c>
      <c r="G63" s="74">
        <f t="shared" si="32"/>
        <v>0</v>
      </c>
      <c r="H63" s="74">
        <f t="shared" si="32"/>
        <v>0</v>
      </c>
      <c r="I63" s="83">
        <f t="shared" si="32"/>
        <v>0</v>
      </c>
      <c r="J63" s="74">
        <f t="shared" si="32"/>
        <v>0</v>
      </c>
      <c r="K63" s="84">
        <f t="shared" si="32"/>
        <v>0</v>
      </c>
      <c r="L63" s="74">
        <f t="shared" si="32"/>
        <v>0</v>
      </c>
      <c r="M63" s="84">
        <f t="shared" si="32"/>
        <v>0</v>
      </c>
      <c r="N63" s="85">
        <f t="shared" si="32"/>
        <v>0</v>
      </c>
      <c r="O63" s="80"/>
    </row>
    <row r="64" spans="1:15">
      <c r="A64" s="72"/>
      <c r="B64" s="73" t="s">
        <v>21</v>
      </c>
      <c r="C64" s="77"/>
      <c r="D64" s="74">
        <f>$C$64*D5</f>
        <v>0</v>
      </c>
      <c r="E64" s="74">
        <f t="shared" ref="E64:N64" si="33">$C$64*E5</f>
        <v>0</v>
      </c>
      <c r="F64" s="74">
        <f t="shared" si="33"/>
        <v>0</v>
      </c>
      <c r="G64" s="74">
        <f t="shared" si="33"/>
        <v>0</v>
      </c>
      <c r="H64" s="74">
        <f t="shared" si="33"/>
        <v>0</v>
      </c>
      <c r="I64" s="83">
        <f t="shared" si="33"/>
        <v>0</v>
      </c>
      <c r="J64" s="74">
        <f t="shared" si="33"/>
        <v>0</v>
      </c>
      <c r="K64" s="84">
        <f t="shared" si="33"/>
        <v>0</v>
      </c>
      <c r="L64" s="74">
        <f t="shared" si="33"/>
        <v>0</v>
      </c>
      <c r="M64" s="84">
        <f t="shared" si="33"/>
        <v>0</v>
      </c>
      <c r="N64" s="85">
        <f t="shared" si="33"/>
        <v>0</v>
      </c>
      <c r="O64" s="80"/>
    </row>
    <row r="65" spans="1:15">
      <c r="A65" s="72"/>
      <c r="B65" s="73" t="s">
        <v>19</v>
      </c>
      <c r="C65" s="77">
        <f>D65+E65+F65+G65+H65+I65+J65+L65+N65</f>
        <v>2563.1726958300001</v>
      </c>
      <c r="D65" s="74">
        <f>расчет!T31</f>
        <v>871.33254120000015</v>
      </c>
      <c r="E65" s="74">
        <f>расчет!T54</f>
        <v>1463.4822546299999</v>
      </c>
      <c r="F65" s="74"/>
      <c r="G65" s="74"/>
      <c r="H65" s="74"/>
      <c r="I65" s="83">
        <v>30.357900000000001</v>
      </c>
      <c r="J65" s="74"/>
      <c r="K65" s="78">
        <f>J65+I65+H65+G65+F65+E65+D65</f>
        <v>2365.1726958300001</v>
      </c>
      <c r="L65" s="74"/>
      <c r="M65" s="78">
        <f>L65</f>
        <v>0</v>
      </c>
      <c r="N65" s="79">
        <v>198</v>
      </c>
      <c r="O65" s="80"/>
    </row>
    <row r="66" spans="1:15">
      <c r="A66" s="72"/>
      <c r="B66" s="73" t="s">
        <v>20</v>
      </c>
      <c r="C66" s="77">
        <f>C64-C65</f>
        <v>-2563.1726958300001</v>
      </c>
      <c r="D66" s="74">
        <f>D64-D65</f>
        <v>-871.33254120000015</v>
      </c>
      <c r="E66" s="74">
        <f t="shared" ref="E66:K66" si="34">E64-E65</f>
        <v>-1463.4822546299999</v>
      </c>
      <c r="F66" s="74">
        <f t="shared" si="34"/>
        <v>0</v>
      </c>
      <c r="G66" s="74">
        <f t="shared" si="34"/>
        <v>0</v>
      </c>
      <c r="H66" s="74">
        <f t="shared" si="34"/>
        <v>0</v>
      </c>
      <c r="I66" s="83">
        <f t="shared" si="34"/>
        <v>-30.357900000000001</v>
      </c>
      <c r="J66" s="74">
        <f t="shared" si="34"/>
        <v>0</v>
      </c>
      <c r="K66" s="78">
        <f t="shared" si="34"/>
        <v>-2365.1726958300001</v>
      </c>
      <c r="L66" s="74">
        <f>L64-L65</f>
        <v>0</v>
      </c>
      <c r="M66" s="78">
        <f t="shared" ref="M66" si="35">M64-M65</f>
        <v>0</v>
      </c>
      <c r="N66" s="79">
        <f>N64-N65</f>
        <v>-198</v>
      </c>
      <c r="O66" s="80"/>
    </row>
    <row r="67" spans="1:15">
      <c r="A67" s="197" t="s">
        <v>169</v>
      </c>
      <c r="B67" s="198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9"/>
    </row>
    <row r="68" spans="1:15">
      <c r="A68" s="72"/>
      <c r="B68" s="73" t="s">
        <v>18</v>
      </c>
      <c r="C68" s="74"/>
      <c r="D68" s="74">
        <f>$C$68*D5</f>
        <v>0</v>
      </c>
      <c r="E68" s="74">
        <f t="shared" ref="E68:N68" si="36">$C$68*E5</f>
        <v>0</v>
      </c>
      <c r="F68" s="74">
        <f t="shared" si="36"/>
        <v>0</v>
      </c>
      <c r="G68" s="74">
        <f t="shared" si="36"/>
        <v>0</v>
      </c>
      <c r="H68" s="74">
        <f t="shared" si="36"/>
        <v>0</v>
      </c>
      <c r="I68" s="83">
        <f t="shared" si="36"/>
        <v>0</v>
      </c>
      <c r="J68" s="74">
        <f t="shared" si="36"/>
        <v>0</v>
      </c>
      <c r="K68" s="84">
        <f t="shared" si="36"/>
        <v>0</v>
      </c>
      <c r="L68" s="74">
        <f t="shared" si="36"/>
        <v>0</v>
      </c>
      <c r="M68" s="84">
        <f t="shared" si="36"/>
        <v>0</v>
      </c>
      <c r="N68" s="85">
        <f t="shared" si="36"/>
        <v>0</v>
      </c>
      <c r="O68" s="80"/>
    </row>
    <row r="69" spans="1:15">
      <c r="A69" s="72"/>
      <c r="B69" s="73" t="s">
        <v>21</v>
      </c>
      <c r="C69" s="77"/>
      <c r="D69" s="74">
        <f>$C$69*D5</f>
        <v>0</v>
      </c>
      <c r="E69" s="74">
        <f t="shared" ref="E69:N69" si="37">$C$69*E5</f>
        <v>0</v>
      </c>
      <c r="F69" s="74">
        <f t="shared" si="37"/>
        <v>0</v>
      </c>
      <c r="G69" s="74">
        <f t="shared" si="37"/>
        <v>0</v>
      </c>
      <c r="H69" s="74">
        <f t="shared" si="37"/>
        <v>0</v>
      </c>
      <c r="I69" s="83">
        <f t="shared" si="37"/>
        <v>0</v>
      </c>
      <c r="J69" s="74">
        <f t="shared" si="37"/>
        <v>0</v>
      </c>
      <c r="K69" s="84">
        <f t="shared" si="37"/>
        <v>0</v>
      </c>
      <c r="L69" s="74">
        <f t="shared" si="37"/>
        <v>0</v>
      </c>
      <c r="M69" s="84">
        <f t="shared" si="37"/>
        <v>0</v>
      </c>
      <c r="N69" s="85">
        <f t="shared" si="37"/>
        <v>0</v>
      </c>
      <c r="O69" s="80"/>
    </row>
    <row r="70" spans="1:15">
      <c r="A70" s="72"/>
      <c r="B70" s="73" t="s">
        <v>19</v>
      </c>
      <c r="C70" s="77">
        <f>D70+E70+F70+G70+H70+I70+J70+L70+N70</f>
        <v>2990.50273152</v>
      </c>
      <c r="D70" s="74">
        <f>расчет!V31</f>
        <v>986.13011363999999</v>
      </c>
      <c r="E70" s="74">
        <f>расчет!V54</f>
        <v>1727.4237178799999</v>
      </c>
      <c r="F70" s="74"/>
      <c r="G70" s="74"/>
      <c r="H70" s="74"/>
      <c r="I70" s="83">
        <v>30.5489</v>
      </c>
      <c r="J70" s="74"/>
      <c r="K70" s="78">
        <f>J70+I70+H70+G70+F70+E70+D70</f>
        <v>2744.1027315199999</v>
      </c>
      <c r="L70" s="74"/>
      <c r="M70" s="78">
        <f>L70</f>
        <v>0</v>
      </c>
      <c r="N70" s="85">
        <v>246.4</v>
      </c>
      <c r="O70" s="80"/>
    </row>
    <row r="71" spans="1:15">
      <c r="A71" s="72"/>
      <c r="B71" s="73" t="s">
        <v>20</v>
      </c>
      <c r="C71" s="77">
        <f>C69-C70</f>
        <v>-2990.50273152</v>
      </c>
      <c r="D71" s="74">
        <f>D69-D70</f>
        <v>-986.13011363999999</v>
      </c>
      <c r="E71" s="74">
        <f t="shared" ref="E71:K71" si="38">E69-E70</f>
        <v>-1727.4237178799999</v>
      </c>
      <c r="F71" s="74">
        <f t="shared" si="38"/>
        <v>0</v>
      </c>
      <c r="G71" s="74">
        <f t="shared" si="38"/>
        <v>0</v>
      </c>
      <c r="H71" s="74">
        <f t="shared" si="38"/>
        <v>0</v>
      </c>
      <c r="I71" s="83">
        <f t="shared" si="38"/>
        <v>-30.5489</v>
      </c>
      <c r="J71" s="74">
        <f t="shared" si="38"/>
        <v>0</v>
      </c>
      <c r="K71" s="78">
        <f t="shared" si="38"/>
        <v>-2744.1027315199999</v>
      </c>
      <c r="L71" s="74">
        <f>L69-L70</f>
        <v>0</v>
      </c>
      <c r="M71" s="78">
        <f t="shared" ref="M71" si="39">M69-M70</f>
        <v>0</v>
      </c>
      <c r="N71" s="79">
        <f>N69-N70</f>
        <v>-246.4</v>
      </c>
      <c r="O71" s="80"/>
    </row>
    <row r="72" spans="1:15">
      <c r="A72" s="197" t="s">
        <v>170</v>
      </c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9"/>
    </row>
    <row r="73" spans="1:15">
      <c r="A73" s="72"/>
      <c r="B73" s="73" t="s">
        <v>18</v>
      </c>
      <c r="C73" s="74"/>
      <c r="D73" s="74">
        <f>$C$73*D5</f>
        <v>0</v>
      </c>
      <c r="E73" s="74">
        <f t="shared" ref="E73:N73" si="40">$C$73*E5</f>
        <v>0</v>
      </c>
      <c r="F73" s="74">
        <f t="shared" si="40"/>
        <v>0</v>
      </c>
      <c r="G73" s="74">
        <f t="shared" si="40"/>
        <v>0</v>
      </c>
      <c r="H73" s="74">
        <f t="shared" si="40"/>
        <v>0</v>
      </c>
      <c r="I73" s="83">
        <f t="shared" si="40"/>
        <v>0</v>
      </c>
      <c r="J73" s="74">
        <f t="shared" si="40"/>
        <v>0</v>
      </c>
      <c r="K73" s="84">
        <f t="shared" si="40"/>
        <v>0</v>
      </c>
      <c r="L73" s="74">
        <f t="shared" si="40"/>
        <v>0</v>
      </c>
      <c r="M73" s="84">
        <f t="shared" si="40"/>
        <v>0</v>
      </c>
      <c r="N73" s="85">
        <f t="shared" si="40"/>
        <v>0</v>
      </c>
      <c r="O73" s="80"/>
    </row>
    <row r="74" spans="1:15">
      <c r="A74" s="72"/>
      <c r="B74" s="73" t="s">
        <v>21</v>
      </c>
      <c r="C74" s="77"/>
      <c r="D74" s="74">
        <f>$C$74*D5</f>
        <v>0</v>
      </c>
      <c r="E74" s="74">
        <f t="shared" ref="E74:N74" si="41">$C$74*E5</f>
        <v>0</v>
      </c>
      <c r="F74" s="74">
        <f t="shared" si="41"/>
        <v>0</v>
      </c>
      <c r="G74" s="74">
        <f t="shared" si="41"/>
        <v>0</v>
      </c>
      <c r="H74" s="74">
        <f t="shared" si="41"/>
        <v>0</v>
      </c>
      <c r="I74" s="83">
        <f t="shared" si="41"/>
        <v>0</v>
      </c>
      <c r="J74" s="74">
        <f t="shared" si="41"/>
        <v>0</v>
      </c>
      <c r="K74" s="84">
        <f t="shared" si="41"/>
        <v>0</v>
      </c>
      <c r="L74" s="74">
        <f t="shared" si="41"/>
        <v>0</v>
      </c>
      <c r="M74" s="84">
        <f t="shared" si="41"/>
        <v>0</v>
      </c>
      <c r="N74" s="85">
        <f t="shared" si="41"/>
        <v>0</v>
      </c>
      <c r="O74" s="80"/>
    </row>
    <row r="75" spans="1:15">
      <c r="A75" s="72"/>
      <c r="B75" s="73" t="s">
        <v>19</v>
      </c>
      <c r="C75" s="77">
        <f>D75+E75+F75+G75+H75+I75+J75+L75+N75</f>
        <v>2690.42546528</v>
      </c>
      <c r="D75" s="74">
        <f>расчет!X31</f>
        <v>1055.8384501400001</v>
      </c>
      <c r="E75" s="74">
        <f>расчет!X54</f>
        <v>1410.2757151400001</v>
      </c>
      <c r="F75" s="74">
        <f>расчет!B7*0.54</f>
        <v>16.200000000000003</v>
      </c>
      <c r="G75" s="74"/>
      <c r="H75" s="74"/>
      <c r="I75" s="83">
        <v>32.1113</v>
      </c>
      <c r="J75" s="74"/>
      <c r="K75" s="78">
        <f>J75+I75+H75+G75+F75+E75+D75</f>
        <v>2514.42546528</v>
      </c>
      <c r="L75" s="74"/>
      <c r="M75" s="78">
        <f>L75</f>
        <v>0</v>
      </c>
      <c r="N75" s="79">
        <v>176</v>
      </c>
      <c r="O75" s="80"/>
    </row>
    <row r="76" spans="1:15">
      <c r="A76" s="72"/>
      <c r="B76" s="73" t="s">
        <v>20</v>
      </c>
      <c r="C76" s="77">
        <f>C74-C75</f>
        <v>-2690.42546528</v>
      </c>
      <c r="D76" s="74">
        <f>D74-D75</f>
        <v>-1055.8384501400001</v>
      </c>
      <c r="E76" s="74">
        <f t="shared" ref="E76:K76" si="42">E74-E75</f>
        <v>-1410.2757151400001</v>
      </c>
      <c r="F76" s="74">
        <f t="shared" si="42"/>
        <v>-16.200000000000003</v>
      </c>
      <c r="G76" s="74">
        <f t="shared" si="42"/>
        <v>0</v>
      </c>
      <c r="H76" s="74">
        <f t="shared" si="42"/>
        <v>0</v>
      </c>
      <c r="I76" s="83">
        <f t="shared" si="42"/>
        <v>-32.1113</v>
      </c>
      <c r="J76" s="74">
        <f t="shared" si="42"/>
        <v>0</v>
      </c>
      <c r="K76" s="78">
        <f t="shared" si="42"/>
        <v>-2514.42546528</v>
      </c>
      <c r="L76" s="74">
        <f>L74-L75</f>
        <v>0</v>
      </c>
      <c r="M76" s="78">
        <f t="shared" ref="M76" si="43">M74-M75</f>
        <v>0</v>
      </c>
      <c r="N76" s="79">
        <f>N74-N75</f>
        <v>-176</v>
      </c>
      <c r="O76" s="80"/>
    </row>
    <row r="77" spans="1:15">
      <c r="A77" s="197" t="s">
        <v>171</v>
      </c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9"/>
    </row>
    <row r="78" spans="1:15">
      <c r="A78" s="72"/>
      <c r="B78" s="73" t="s">
        <v>18</v>
      </c>
      <c r="C78" s="74"/>
      <c r="D78" s="74">
        <f>$C$78*D5</f>
        <v>0</v>
      </c>
      <c r="E78" s="74">
        <f t="shared" ref="E78:N78" si="44">$C$78*E5</f>
        <v>0</v>
      </c>
      <c r="F78" s="74">
        <f t="shared" si="44"/>
        <v>0</v>
      </c>
      <c r="G78" s="74">
        <f t="shared" si="44"/>
        <v>0</v>
      </c>
      <c r="H78" s="74">
        <f t="shared" si="44"/>
        <v>0</v>
      </c>
      <c r="I78" s="83">
        <f t="shared" si="44"/>
        <v>0</v>
      </c>
      <c r="J78" s="74">
        <f t="shared" si="44"/>
        <v>0</v>
      </c>
      <c r="K78" s="84">
        <f t="shared" si="44"/>
        <v>0</v>
      </c>
      <c r="L78" s="74">
        <f t="shared" si="44"/>
        <v>0</v>
      </c>
      <c r="M78" s="84">
        <f t="shared" si="44"/>
        <v>0</v>
      </c>
      <c r="N78" s="85">
        <f t="shared" si="44"/>
        <v>0</v>
      </c>
      <c r="O78" s="80"/>
    </row>
    <row r="79" spans="1:15">
      <c r="A79" s="72"/>
      <c r="B79" s="73" t="s">
        <v>21</v>
      </c>
      <c r="C79" s="77"/>
      <c r="D79" s="74">
        <f>$C$79*D5</f>
        <v>0</v>
      </c>
      <c r="E79" s="74">
        <f t="shared" ref="E79:N79" si="45">$C$79*E5</f>
        <v>0</v>
      </c>
      <c r="F79" s="74">
        <f t="shared" si="45"/>
        <v>0</v>
      </c>
      <c r="G79" s="74">
        <f t="shared" si="45"/>
        <v>0</v>
      </c>
      <c r="H79" s="74">
        <f t="shared" si="45"/>
        <v>0</v>
      </c>
      <c r="I79" s="83">
        <f t="shared" si="45"/>
        <v>0</v>
      </c>
      <c r="J79" s="74">
        <f t="shared" si="45"/>
        <v>0</v>
      </c>
      <c r="K79" s="84">
        <f t="shared" si="45"/>
        <v>0</v>
      </c>
      <c r="L79" s="74">
        <f t="shared" si="45"/>
        <v>0</v>
      </c>
      <c r="M79" s="84">
        <f t="shared" si="45"/>
        <v>0</v>
      </c>
      <c r="N79" s="85">
        <f t="shared" si="45"/>
        <v>0</v>
      </c>
      <c r="O79" s="80"/>
    </row>
    <row r="80" spans="1:15">
      <c r="A80" s="72"/>
      <c r="B80" s="73" t="s">
        <v>19</v>
      </c>
      <c r="C80" s="77">
        <f>D80+E80+F80+G80+H80+I80+J80+L80+N80</f>
        <v>2742.3422829000001</v>
      </c>
      <c r="D80" s="74">
        <f>расчет!Z31</f>
        <v>1009.7355114999999</v>
      </c>
      <c r="E80" s="74">
        <f>расчет!Z54</f>
        <v>1450.5469713999998</v>
      </c>
      <c r="F80" s="74"/>
      <c r="G80" s="74"/>
      <c r="H80" s="74"/>
      <c r="I80" s="83">
        <v>32.209800000000001</v>
      </c>
      <c r="J80" s="74">
        <v>131.05000000000001</v>
      </c>
      <c r="K80" s="78">
        <f>J80+I80+H80+G80+F80+E80+D80</f>
        <v>2623.5422828999999</v>
      </c>
      <c r="L80" s="74"/>
      <c r="M80" s="78">
        <f>L80</f>
        <v>0</v>
      </c>
      <c r="N80" s="79">
        <v>118.8</v>
      </c>
      <c r="O80" s="80"/>
    </row>
    <row r="81" spans="1:15">
      <c r="A81" s="72"/>
      <c r="B81" s="73" t="s">
        <v>20</v>
      </c>
      <c r="C81" s="77">
        <f>C79-C80</f>
        <v>-2742.3422829000001</v>
      </c>
      <c r="D81" s="74">
        <f>D79-D80</f>
        <v>-1009.7355114999999</v>
      </c>
      <c r="E81" s="74">
        <f t="shared" ref="E81:N81" si="46">E79-E80</f>
        <v>-1450.5469713999998</v>
      </c>
      <c r="F81" s="74">
        <f t="shared" si="46"/>
        <v>0</v>
      </c>
      <c r="G81" s="74">
        <f t="shared" si="46"/>
        <v>0</v>
      </c>
      <c r="H81" s="74">
        <f t="shared" si="46"/>
        <v>0</v>
      </c>
      <c r="I81" s="83">
        <f t="shared" si="46"/>
        <v>-32.209800000000001</v>
      </c>
      <c r="J81" s="74">
        <f t="shared" si="46"/>
        <v>-131.05000000000001</v>
      </c>
      <c r="K81" s="78">
        <f t="shared" si="46"/>
        <v>-2623.5422828999999</v>
      </c>
      <c r="L81" s="74">
        <f t="shared" si="46"/>
        <v>0</v>
      </c>
      <c r="M81" s="78">
        <f t="shared" si="46"/>
        <v>0</v>
      </c>
      <c r="N81" s="85">
        <f t="shared" si="46"/>
        <v>-118.8</v>
      </c>
      <c r="O81" s="80"/>
    </row>
    <row r="82" spans="1:15" s="14" customFormat="1" ht="13.5">
      <c r="A82" s="90"/>
      <c r="B82" s="91" t="s">
        <v>22</v>
      </c>
      <c r="C82" s="92">
        <f t="shared" ref="C82:N82" si="47">C14+C23+C32+C41+C46+C51+C56+C61+C66+C71+C76+C81</f>
        <v>-49409.552749969997</v>
      </c>
      <c r="D82" s="92">
        <f t="shared" si="47"/>
        <v>-12285.109709619999</v>
      </c>
      <c r="E82" s="92">
        <f t="shared" si="47"/>
        <v>-17954.826840350001</v>
      </c>
      <c r="F82" s="93">
        <f t="shared" si="47"/>
        <v>-32.400000000000006</v>
      </c>
      <c r="G82" s="92">
        <f t="shared" si="47"/>
        <v>-21.9</v>
      </c>
      <c r="H82" s="93">
        <f t="shared" si="47"/>
        <v>-483.84000000000003</v>
      </c>
      <c r="I82" s="94">
        <f t="shared" si="47"/>
        <v>-578.89620000000002</v>
      </c>
      <c r="J82" s="93">
        <f t="shared" si="47"/>
        <v>-131.05000000000001</v>
      </c>
      <c r="K82" s="92">
        <f t="shared" si="47"/>
        <v>-31488.022749970005</v>
      </c>
      <c r="L82" s="93">
        <f t="shared" si="47"/>
        <v>-14886.13</v>
      </c>
      <c r="M82" s="93">
        <f t="shared" si="47"/>
        <v>-14886.13</v>
      </c>
      <c r="N82" s="95">
        <f t="shared" si="47"/>
        <v>-3035.4000000000005</v>
      </c>
      <c r="O82" s="96"/>
    </row>
    <row r="83" spans="1:15">
      <c r="A83" s="72"/>
      <c r="B83" s="73" t="s">
        <v>18</v>
      </c>
      <c r="C83" s="77">
        <f>(6390.54+21128.74+1826.88+1242.24+3740.4)/1.2</f>
        <v>28607.333333333336</v>
      </c>
      <c r="D83" s="74">
        <f>$C$83*D5</f>
        <v>6665.5086666666675</v>
      </c>
      <c r="E83" s="74">
        <f t="shared" ref="E83:N83" si="48">$C$83*E5</f>
        <v>11156.86</v>
      </c>
      <c r="F83" s="74">
        <f t="shared" si="48"/>
        <v>28.607333333333337</v>
      </c>
      <c r="G83" s="74">
        <f t="shared" si="48"/>
        <v>28.607333333333337</v>
      </c>
      <c r="H83" s="74">
        <f t="shared" si="48"/>
        <v>343.28800000000001</v>
      </c>
      <c r="I83" s="74">
        <f t="shared" si="48"/>
        <v>486.32466666666676</v>
      </c>
      <c r="J83" s="74">
        <f t="shared" si="48"/>
        <v>28.607333333333337</v>
      </c>
      <c r="K83" s="84">
        <f>J83+I83+H83+G83+F83+E83+D83</f>
        <v>18737.803333333333</v>
      </c>
      <c r="L83" s="74">
        <f t="shared" si="48"/>
        <v>5464.0006666666668</v>
      </c>
      <c r="M83" s="84">
        <f>L83</f>
        <v>5464.0006666666668</v>
      </c>
      <c r="N83" s="84">
        <f t="shared" si="48"/>
        <v>4405.5293333333339</v>
      </c>
      <c r="O83" s="80"/>
    </row>
    <row r="84" spans="1:15">
      <c r="A84" s="72"/>
      <c r="B84" s="73" t="s">
        <v>21</v>
      </c>
      <c r="C84" s="77">
        <f>(2131.36+1242.24+3740.4+16905.79+7074.86)/1.2</f>
        <v>25912.208333333336</v>
      </c>
      <c r="D84" s="74">
        <f>$C$84*D5</f>
        <v>6037.544541666668</v>
      </c>
      <c r="E84" s="74">
        <f t="shared" ref="E84:N84" si="49">$C$84*E5</f>
        <v>10105.761250000001</v>
      </c>
      <c r="F84" s="74">
        <f t="shared" si="49"/>
        <v>25.912208333333336</v>
      </c>
      <c r="G84" s="74">
        <f t="shared" si="49"/>
        <v>25.912208333333336</v>
      </c>
      <c r="H84" s="74">
        <f t="shared" si="49"/>
        <v>310.94650000000001</v>
      </c>
      <c r="I84" s="74">
        <f t="shared" si="49"/>
        <v>440.50754166666673</v>
      </c>
      <c r="J84" s="74">
        <f t="shared" si="49"/>
        <v>25.912208333333336</v>
      </c>
      <c r="K84" s="84">
        <f>J84+I84+H84+G84+F84+E84+D84</f>
        <v>16972.496458333335</v>
      </c>
      <c r="L84" s="74">
        <f t="shared" si="49"/>
        <v>4949.231791666667</v>
      </c>
      <c r="M84" s="84">
        <f>L84</f>
        <v>4949.231791666667</v>
      </c>
      <c r="N84" s="84">
        <f t="shared" si="49"/>
        <v>3990.4800833333338</v>
      </c>
      <c r="O84" s="80">
        <f>C84/C4/12</f>
        <v>3.7076763297466431</v>
      </c>
    </row>
    <row r="85" spans="1:15">
      <c r="A85" s="72"/>
      <c r="B85" s="73" t="s">
        <v>19</v>
      </c>
      <c r="C85" s="77">
        <f t="shared" ref="C85:N85" si="50">C80+C75+C70+C65+C60+C55+C50+C45+C36+C27+C18+C9</f>
        <v>49409.552749970004</v>
      </c>
      <c r="D85" s="77">
        <f t="shared" si="50"/>
        <v>12285.109709620001</v>
      </c>
      <c r="E85" s="77">
        <f t="shared" si="50"/>
        <v>17954.826840350004</v>
      </c>
      <c r="F85" s="77">
        <f t="shared" si="50"/>
        <v>32.400000000000006</v>
      </c>
      <c r="G85" s="77">
        <f t="shared" si="50"/>
        <v>21.9</v>
      </c>
      <c r="H85" s="77">
        <f t="shared" si="50"/>
        <v>483.84000000000003</v>
      </c>
      <c r="I85" s="97">
        <f t="shared" si="50"/>
        <v>578.89620000000002</v>
      </c>
      <c r="J85" s="77">
        <f t="shared" si="50"/>
        <v>131.05000000000001</v>
      </c>
      <c r="K85" s="84">
        <f>J85+I85+H85+G85+F85+E85+D85</f>
        <v>31488.022749970005</v>
      </c>
      <c r="L85" s="77">
        <f t="shared" si="50"/>
        <v>14886.13</v>
      </c>
      <c r="M85" s="98">
        <f t="shared" si="50"/>
        <v>14886.13</v>
      </c>
      <c r="N85" s="79">
        <f t="shared" si="50"/>
        <v>3035.4000000000005</v>
      </c>
      <c r="O85" s="80">
        <f>C85/C4/12</f>
        <v>7.0698192465044079</v>
      </c>
    </row>
    <row r="86" spans="1:15">
      <c r="A86" s="72"/>
      <c r="B86" s="73" t="s">
        <v>20</v>
      </c>
      <c r="C86" s="77">
        <f>C84-C85</f>
        <v>-23497.344416636668</v>
      </c>
      <c r="D86" s="74">
        <f>D84-D85</f>
        <v>-6247.565167953333</v>
      </c>
      <c r="E86" s="74">
        <f t="shared" ref="E86:N86" si="51">E84-E85</f>
        <v>-7849.0655903500028</v>
      </c>
      <c r="F86" s="74">
        <f t="shared" si="51"/>
        <v>-6.48779166666667</v>
      </c>
      <c r="G86" s="74">
        <f t="shared" si="51"/>
        <v>4.0122083333333372</v>
      </c>
      <c r="H86" s="74">
        <f t="shared" si="51"/>
        <v>-172.89350000000002</v>
      </c>
      <c r="I86" s="83">
        <f t="shared" si="51"/>
        <v>-138.3886583333333</v>
      </c>
      <c r="J86" s="74">
        <f t="shared" si="51"/>
        <v>-105.13779166666667</v>
      </c>
      <c r="K86" s="84">
        <f t="shared" si="51"/>
        <v>-14515.52629163667</v>
      </c>
      <c r="L86" s="74">
        <f t="shared" si="51"/>
        <v>-9936.8982083333321</v>
      </c>
      <c r="M86" s="84">
        <f t="shared" si="51"/>
        <v>-9936.8982083333321</v>
      </c>
      <c r="N86" s="85">
        <f t="shared" si="51"/>
        <v>955.08008333333328</v>
      </c>
      <c r="O86" s="80"/>
    </row>
    <row r="87" spans="1:15">
      <c r="B87" s="101"/>
      <c r="D87" s="82"/>
      <c r="E87" s="82"/>
      <c r="I87" s="120"/>
      <c r="N87" s="99" t="s">
        <v>153</v>
      </c>
      <c r="O87" s="80">
        <f>C85/C4/12</f>
        <v>7.0698192465044079</v>
      </c>
    </row>
    <row r="88" spans="1:15">
      <c r="B88" s="101"/>
      <c r="D88" s="82"/>
      <c r="E88" s="82"/>
      <c r="I88" s="120"/>
      <c r="N88" s="99" t="s">
        <v>154</v>
      </c>
      <c r="O88" s="100">
        <f>O87*1.2</f>
        <v>8.4837830958052898</v>
      </c>
    </row>
    <row r="89" spans="1:15">
      <c r="B89" s="101"/>
      <c r="O89" s="104"/>
    </row>
    <row r="90" spans="1:15">
      <c r="O90" s="104"/>
    </row>
    <row r="91" spans="1:15">
      <c r="O91" s="104"/>
    </row>
  </sheetData>
  <mergeCells count="18">
    <mergeCell ref="B1:B2"/>
    <mergeCell ref="A1:A2"/>
    <mergeCell ref="O1:O2"/>
    <mergeCell ref="D1:K1"/>
    <mergeCell ref="L1:M1"/>
    <mergeCell ref="C1:C2"/>
    <mergeCell ref="A62:O62"/>
    <mergeCell ref="A67:O67"/>
    <mergeCell ref="A72:O72"/>
    <mergeCell ref="A77:O77"/>
    <mergeCell ref="A6:O6"/>
    <mergeCell ref="A15:O15"/>
    <mergeCell ref="A24:O24"/>
    <mergeCell ref="A33:O33"/>
    <mergeCell ref="A52:O52"/>
    <mergeCell ref="A57:O57"/>
    <mergeCell ref="A47:O47"/>
    <mergeCell ref="A42:O42"/>
  </mergeCells>
  <pageMargins left="0.19685039370078741" right="0.19685039370078741" top="0.39370078740157483" bottom="0.39370078740157483" header="0.39370078740157483" footer="0.39370078740157483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70"/>
  <sheetViews>
    <sheetView topLeftCell="M1" workbookViewId="0">
      <pane ySplit="1" topLeftCell="A35" activePane="bottomLeft" state="frozen"/>
      <selection pane="bottomLeft" activeCell="Z58" sqref="Z58"/>
    </sheetView>
  </sheetViews>
  <sheetFormatPr defaultRowHeight="15"/>
  <cols>
    <col min="1" max="1" width="45.7109375" bestFit="1" customWidth="1"/>
    <col min="2" max="2" width="11.28515625" style="37" bestFit="1" customWidth="1"/>
    <col min="3" max="3" width="9.140625" style="38"/>
    <col min="4" max="4" width="11.42578125" style="37" bestFit="1" customWidth="1"/>
    <col min="5" max="5" width="9.140625" style="38"/>
    <col min="6" max="6" width="11.28515625" style="37" bestFit="1" customWidth="1"/>
    <col min="7" max="7" width="9.140625" style="38"/>
    <col min="8" max="8" width="11.28515625" style="37" bestFit="1" customWidth="1"/>
    <col min="9" max="9" width="9.140625" style="38"/>
    <col min="10" max="10" width="11.28515625" style="37" bestFit="1" customWidth="1"/>
    <col min="11" max="11" width="9.140625" style="38"/>
    <col min="12" max="12" width="11.85546875" style="37" bestFit="1" customWidth="1"/>
    <col min="13" max="13" width="9.140625" style="38"/>
    <col min="14" max="14" width="11.28515625" style="37" bestFit="1" customWidth="1"/>
    <col min="15" max="15" width="9.140625" style="38"/>
    <col min="16" max="16" width="11.28515625" style="37" bestFit="1" customWidth="1"/>
    <col min="17" max="17" width="9.140625" style="38"/>
    <col min="18" max="18" width="11.28515625" style="37" bestFit="1" customWidth="1"/>
    <col min="19" max="19" width="9.140625" style="38"/>
    <col min="20" max="20" width="11.28515625" style="37" bestFit="1" customWidth="1"/>
    <col min="21" max="21" width="9.140625" style="38"/>
    <col min="22" max="22" width="11.28515625" style="37" bestFit="1" customWidth="1"/>
    <col min="23" max="23" width="9.140625" style="38"/>
    <col min="24" max="24" width="11.28515625" style="37" bestFit="1" customWidth="1"/>
    <col min="25" max="25" width="9.140625" style="38"/>
    <col min="26" max="26" width="11.28515625" style="37" bestFit="1" customWidth="1"/>
    <col min="27" max="27" width="9.140625" style="38"/>
  </cols>
  <sheetData>
    <row r="1" spans="1:27" ht="15.75">
      <c r="A1" s="105" t="str">
        <f>план!A1</f>
        <v>АДРЕС:Курская, 18</v>
      </c>
      <c r="B1" s="201" t="s">
        <v>23</v>
      </c>
      <c r="C1" s="201"/>
      <c r="D1" s="201" t="s">
        <v>24</v>
      </c>
      <c r="E1" s="201"/>
      <c r="F1" s="201" t="s">
        <v>25</v>
      </c>
      <c r="G1" s="201"/>
      <c r="H1" s="201" t="s">
        <v>26</v>
      </c>
      <c r="I1" s="201"/>
      <c r="J1" s="201" t="s">
        <v>27</v>
      </c>
      <c r="K1" s="201"/>
      <c r="L1" s="201" t="s">
        <v>28</v>
      </c>
      <c r="M1" s="201"/>
      <c r="N1" s="201" t="s">
        <v>29</v>
      </c>
      <c r="O1" s="201"/>
      <c r="P1" s="201" t="s">
        <v>30</v>
      </c>
      <c r="Q1" s="201"/>
      <c r="R1" s="201" t="s">
        <v>172</v>
      </c>
      <c r="S1" s="201"/>
      <c r="T1" s="201" t="s">
        <v>173</v>
      </c>
      <c r="U1" s="201"/>
      <c r="V1" s="201" t="s">
        <v>174</v>
      </c>
      <c r="W1" s="201"/>
      <c r="X1" s="201" t="s">
        <v>175</v>
      </c>
      <c r="Y1" s="201"/>
      <c r="Z1" s="201" t="s">
        <v>176</v>
      </c>
      <c r="AA1" s="201"/>
    </row>
    <row r="2" spans="1:27" ht="15.75">
      <c r="A2" s="15" t="s">
        <v>31</v>
      </c>
      <c r="B2" s="133">
        <f>план!B2</f>
        <v>626.70000000000005</v>
      </c>
      <c r="C2" s="107" t="s">
        <v>32</v>
      </c>
      <c r="D2" s="16">
        <f>B2</f>
        <v>626.70000000000005</v>
      </c>
      <c r="E2" s="17" t="s">
        <v>32</v>
      </c>
      <c r="F2" s="16">
        <f>D2</f>
        <v>626.70000000000005</v>
      </c>
      <c r="G2" s="17" t="s">
        <v>32</v>
      </c>
      <c r="H2" s="16">
        <f>F2</f>
        <v>626.70000000000005</v>
      </c>
      <c r="I2" s="17" t="s">
        <v>32</v>
      </c>
      <c r="J2" s="16">
        <f>H2</f>
        <v>626.70000000000005</v>
      </c>
      <c r="K2" s="17" t="s">
        <v>32</v>
      </c>
      <c r="L2" s="16">
        <f>J2</f>
        <v>626.70000000000005</v>
      </c>
      <c r="M2" s="17" t="s">
        <v>32</v>
      </c>
      <c r="N2" s="138">
        <f>L2</f>
        <v>626.70000000000005</v>
      </c>
      <c r="O2" s="139" t="s">
        <v>32</v>
      </c>
      <c r="P2" s="138">
        <f>N2</f>
        <v>626.70000000000005</v>
      </c>
      <c r="Q2" s="139" t="s">
        <v>32</v>
      </c>
      <c r="R2" s="138">
        <f>P2</f>
        <v>626.70000000000005</v>
      </c>
      <c r="S2" s="139" t="s">
        <v>32</v>
      </c>
      <c r="T2" s="138">
        <f>R2</f>
        <v>626.70000000000005</v>
      </c>
      <c r="U2" s="139" t="s">
        <v>32</v>
      </c>
      <c r="V2" s="138">
        <f>T2</f>
        <v>626.70000000000005</v>
      </c>
      <c r="W2" s="139" t="s">
        <v>32</v>
      </c>
      <c r="X2" s="138">
        <f>V2</f>
        <v>626.70000000000005</v>
      </c>
      <c r="Y2" s="139" t="s">
        <v>32</v>
      </c>
      <c r="Z2" s="138">
        <f>X2</f>
        <v>626.70000000000005</v>
      </c>
      <c r="AA2" s="139" t="s">
        <v>32</v>
      </c>
    </row>
    <row r="3" spans="1:27" ht="15.75">
      <c r="A3" s="15" t="s">
        <v>33</v>
      </c>
      <c r="B3" s="134">
        <f>план!B3</f>
        <v>2</v>
      </c>
      <c r="C3" s="107" t="s">
        <v>34</v>
      </c>
      <c r="D3" s="18">
        <f>B3</f>
        <v>2</v>
      </c>
      <c r="E3" s="17" t="s">
        <v>34</v>
      </c>
      <c r="F3" s="18">
        <f>D3</f>
        <v>2</v>
      </c>
      <c r="G3" s="17" t="s">
        <v>34</v>
      </c>
      <c r="H3" s="18">
        <f>F3</f>
        <v>2</v>
      </c>
      <c r="I3" s="17" t="s">
        <v>34</v>
      </c>
      <c r="J3" s="18">
        <f>H3</f>
        <v>2</v>
      </c>
      <c r="K3" s="17" t="s">
        <v>34</v>
      </c>
      <c r="L3" s="18">
        <f>J3</f>
        <v>2</v>
      </c>
      <c r="M3" s="17" t="s">
        <v>34</v>
      </c>
      <c r="N3" s="140">
        <f>L3</f>
        <v>2</v>
      </c>
      <c r="O3" s="139" t="s">
        <v>34</v>
      </c>
      <c r="P3" s="140">
        <f>N3</f>
        <v>2</v>
      </c>
      <c r="Q3" s="139" t="s">
        <v>34</v>
      </c>
      <c r="R3" s="140">
        <f>P3</f>
        <v>2</v>
      </c>
      <c r="S3" s="139" t="s">
        <v>34</v>
      </c>
      <c r="T3" s="140">
        <f>R3</f>
        <v>2</v>
      </c>
      <c r="U3" s="139" t="s">
        <v>34</v>
      </c>
      <c r="V3" s="140">
        <f>T3</f>
        <v>2</v>
      </c>
      <c r="W3" s="139" t="s">
        <v>34</v>
      </c>
      <c r="X3" s="140">
        <f>V3</f>
        <v>2</v>
      </c>
      <c r="Y3" s="139" t="s">
        <v>34</v>
      </c>
      <c r="Z3" s="140">
        <f>X3</f>
        <v>2</v>
      </c>
      <c r="AA3" s="139" t="s">
        <v>34</v>
      </c>
    </row>
    <row r="4" spans="1:27" ht="15.75">
      <c r="A4" s="15" t="s">
        <v>35</v>
      </c>
      <c r="B4" s="134">
        <f>план!B4</f>
        <v>0</v>
      </c>
      <c r="C4" s="107" t="s">
        <v>36</v>
      </c>
      <c r="D4" s="18">
        <v>4</v>
      </c>
      <c r="E4" s="17" t="s">
        <v>36</v>
      </c>
      <c r="F4" s="18">
        <v>4</v>
      </c>
      <c r="G4" s="17" t="s">
        <v>36</v>
      </c>
      <c r="H4" s="18">
        <v>4</v>
      </c>
      <c r="I4" s="17" t="s">
        <v>36</v>
      </c>
      <c r="J4" s="18">
        <v>4</v>
      </c>
      <c r="K4" s="17" t="s">
        <v>36</v>
      </c>
      <c r="L4" s="18">
        <v>4</v>
      </c>
      <c r="M4" s="17" t="s">
        <v>36</v>
      </c>
      <c r="N4" s="140">
        <v>4</v>
      </c>
      <c r="O4" s="139" t="s">
        <v>36</v>
      </c>
      <c r="P4" s="140">
        <v>4</v>
      </c>
      <c r="Q4" s="139" t="s">
        <v>36</v>
      </c>
      <c r="R4" s="140">
        <v>4</v>
      </c>
      <c r="S4" s="139" t="s">
        <v>36</v>
      </c>
      <c r="T4" s="140">
        <v>4</v>
      </c>
      <c r="U4" s="139" t="s">
        <v>36</v>
      </c>
      <c r="V4" s="140">
        <v>4</v>
      </c>
      <c r="W4" s="139" t="s">
        <v>36</v>
      </c>
      <c r="X4" s="140">
        <v>4</v>
      </c>
      <c r="Y4" s="139" t="s">
        <v>36</v>
      </c>
      <c r="Z4" s="140">
        <v>4</v>
      </c>
      <c r="AA4" s="139" t="s">
        <v>36</v>
      </c>
    </row>
    <row r="5" spans="1:27" ht="15.75">
      <c r="A5" s="15" t="s">
        <v>37</v>
      </c>
      <c r="B5" s="133">
        <f>план!B5</f>
        <v>498.5</v>
      </c>
      <c r="C5" s="107" t="s">
        <v>32</v>
      </c>
      <c r="D5" s="16">
        <f t="shared" ref="D5:D17" si="0">B5</f>
        <v>498.5</v>
      </c>
      <c r="E5" s="17" t="s">
        <v>32</v>
      </c>
      <c r="F5" s="16">
        <f t="shared" ref="F5:F17" si="1">D5</f>
        <v>498.5</v>
      </c>
      <c r="G5" s="17" t="s">
        <v>32</v>
      </c>
      <c r="H5" s="16">
        <f t="shared" ref="H5:H17" si="2">F5</f>
        <v>498.5</v>
      </c>
      <c r="I5" s="17" t="s">
        <v>32</v>
      </c>
      <c r="J5" s="16">
        <f t="shared" ref="J5:J17" si="3">H5</f>
        <v>498.5</v>
      </c>
      <c r="K5" s="17" t="s">
        <v>32</v>
      </c>
      <c r="L5" s="16">
        <f t="shared" ref="L5:L17" si="4">J5</f>
        <v>498.5</v>
      </c>
      <c r="M5" s="17" t="s">
        <v>32</v>
      </c>
      <c r="N5" s="138">
        <f t="shared" ref="N5:N17" si="5">L5</f>
        <v>498.5</v>
      </c>
      <c r="O5" s="139" t="s">
        <v>32</v>
      </c>
      <c r="P5" s="138">
        <f t="shared" ref="P5:P17" si="6">N5</f>
        <v>498.5</v>
      </c>
      <c r="Q5" s="139" t="s">
        <v>32</v>
      </c>
      <c r="R5" s="138">
        <f t="shared" ref="R5:R17" si="7">P5</f>
        <v>498.5</v>
      </c>
      <c r="S5" s="139" t="s">
        <v>32</v>
      </c>
      <c r="T5" s="138">
        <f t="shared" ref="T5:T17" si="8">R5</f>
        <v>498.5</v>
      </c>
      <c r="U5" s="139" t="s">
        <v>32</v>
      </c>
      <c r="V5" s="138">
        <f t="shared" ref="V5:V17" si="9">T5</f>
        <v>498.5</v>
      </c>
      <c r="W5" s="139" t="s">
        <v>32</v>
      </c>
      <c r="X5" s="138">
        <f t="shared" ref="X5:X17" si="10">V5</f>
        <v>498.5</v>
      </c>
      <c r="Y5" s="139" t="s">
        <v>32</v>
      </c>
      <c r="Z5" s="138">
        <f t="shared" ref="Z5:Z17" si="11">X5</f>
        <v>498.5</v>
      </c>
      <c r="AA5" s="139" t="s">
        <v>32</v>
      </c>
    </row>
    <row r="6" spans="1:27" ht="15.75">
      <c r="A6" s="15" t="s">
        <v>38</v>
      </c>
      <c r="B6" s="134">
        <f>план!B6</f>
        <v>16</v>
      </c>
      <c r="C6" s="107" t="s">
        <v>34</v>
      </c>
      <c r="D6" s="18">
        <f t="shared" si="0"/>
        <v>16</v>
      </c>
      <c r="E6" s="17" t="s">
        <v>34</v>
      </c>
      <c r="F6" s="18">
        <f t="shared" si="1"/>
        <v>16</v>
      </c>
      <c r="G6" s="17" t="s">
        <v>34</v>
      </c>
      <c r="H6" s="18">
        <f t="shared" si="2"/>
        <v>16</v>
      </c>
      <c r="I6" s="17" t="s">
        <v>34</v>
      </c>
      <c r="J6" s="18">
        <f t="shared" si="3"/>
        <v>16</v>
      </c>
      <c r="K6" s="17" t="s">
        <v>34</v>
      </c>
      <c r="L6" s="18">
        <f t="shared" si="4"/>
        <v>16</v>
      </c>
      <c r="M6" s="17" t="s">
        <v>34</v>
      </c>
      <c r="N6" s="140">
        <f t="shared" si="5"/>
        <v>16</v>
      </c>
      <c r="O6" s="139" t="s">
        <v>34</v>
      </c>
      <c r="P6" s="140">
        <f t="shared" si="6"/>
        <v>16</v>
      </c>
      <c r="Q6" s="139" t="s">
        <v>34</v>
      </c>
      <c r="R6" s="140">
        <f t="shared" si="7"/>
        <v>16</v>
      </c>
      <c r="S6" s="139" t="s">
        <v>34</v>
      </c>
      <c r="T6" s="140">
        <f t="shared" si="8"/>
        <v>16</v>
      </c>
      <c r="U6" s="139" t="s">
        <v>34</v>
      </c>
      <c r="V6" s="140">
        <f t="shared" si="9"/>
        <v>16</v>
      </c>
      <c r="W6" s="139" t="s">
        <v>34</v>
      </c>
      <c r="X6" s="140">
        <f t="shared" si="10"/>
        <v>16</v>
      </c>
      <c r="Y6" s="139" t="s">
        <v>34</v>
      </c>
      <c r="Z6" s="140">
        <f t="shared" si="11"/>
        <v>16</v>
      </c>
      <c r="AA6" s="139" t="s">
        <v>34</v>
      </c>
    </row>
    <row r="7" spans="1:27" ht="15.75">
      <c r="A7" s="15" t="s">
        <v>39</v>
      </c>
      <c r="B7" s="133">
        <f>план!B7</f>
        <v>30</v>
      </c>
      <c r="C7" s="107" t="s">
        <v>32</v>
      </c>
      <c r="D7" s="16">
        <f t="shared" si="0"/>
        <v>30</v>
      </c>
      <c r="E7" s="17" t="s">
        <v>32</v>
      </c>
      <c r="F7" s="16">
        <f t="shared" si="1"/>
        <v>30</v>
      </c>
      <c r="G7" s="17" t="s">
        <v>32</v>
      </c>
      <c r="H7" s="16">
        <f t="shared" si="2"/>
        <v>30</v>
      </c>
      <c r="I7" s="17" t="s">
        <v>32</v>
      </c>
      <c r="J7" s="16">
        <f t="shared" si="3"/>
        <v>30</v>
      </c>
      <c r="K7" s="17" t="s">
        <v>32</v>
      </c>
      <c r="L7" s="16">
        <f t="shared" si="4"/>
        <v>30</v>
      </c>
      <c r="M7" s="17" t="s">
        <v>32</v>
      </c>
      <c r="N7" s="138">
        <f t="shared" si="5"/>
        <v>30</v>
      </c>
      <c r="O7" s="139" t="s">
        <v>32</v>
      </c>
      <c r="P7" s="138">
        <f t="shared" si="6"/>
        <v>30</v>
      </c>
      <c r="Q7" s="139" t="s">
        <v>32</v>
      </c>
      <c r="R7" s="138">
        <f t="shared" si="7"/>
        <v>30</v>
      </c>
      <c r="S7" s="139" t="s">
        <v>32</v>
      </c>
      <c r="T7" s="138">
        <f t="shared" si="8"/>
        <v>30</v>
      </c>
      <c r="U7" s="139" t="s">
        <v>32</v>
      </c>
      <c r="V7" s="138">
        <f t="shared" si="9"/>
        <v>30</v>
      </c>
      <c r="W7" s="139" t="s">
        <v>32</v>
      </c>
      <c r="X7" s="138">
        <f t="shared" si="10"/>
        <v>30</v>
      </c>
      <c r="Y7" s="139" t="s">
        <v>32</v>
      </c>
      <c r="Z7" s="138">
        <f t="shared" si="11"/>
        <v>30</v>
      </c>
      <c r="AA7" s="139" t="s">
        <v>32</v>
      </c>
    </row>
    <row r="8" spans="1:27" ht="15.75">
      <c r="A8" s="15" t="s">
        <v>40</v>
      </c>
      <c r="B8" s="133">
        <f>план!B8</f>
        <v>48</v>
      </c>
      <c r="C8" s="107" t="s">
        <v>32</v>
      </c>
      <c r="D8" s="16">
        <f t="shared" si="0"/>
        <v>48</v>
      </c>
      <c r="E8" s="17" t="s">
        <v>32</v>
      </c>
      <c r="F8" s="16">
        <f t="shared" si="1"/>
        <v>48</v>
      </c>
      <c r="G8" s="17" t="s">
        <v>32</v>
      </c>
      <c r="H8" s="16">
        <f t="shared" si="2"/>
        <v>48</v>
      </c>
      <c r="I8" s="17" t="s">
        <v>32</v>
      </c>
      <c r="J8" s="16">
        <f t="shared" si="3"/>
        <v>48</v>
      </c>
      <c r="K8" s="17" t="s">
        <v>32</v>
      </c>
      <c r="L8" s="16">
        <f t="shared" si="4"/>
        <v>48</v>
      </c>
      <c r="M8" s="17" t="s">
        <v>32</v>
      </c>
      <c r="N8" s="138">
        <f t="shared" si="5"/>
        <v>48</v>
      </c>
      <c r="O8" s="139" t="s">
        <v>32</v>
      </c>
      <c r="P8" s="138">
        <f t="shared" si="6"/>
        <v>48</v>
      </c>
      <c r="Q8" s="139" t="s">
        <v>32</v>
      </c>
      <c r="R8" s="138">
        <f t="shared" si="7"/>
        <v>48</v>
      </c>
      <c r="S8" s="139" t="s">
        <v>32</v>
      </c>
      <c r="T8" s="138">
        <f t="shared" si="8"/>
        <v>48</v>
      </c>
      <c r="U8" s="139" t="s">
        <v>32</v>
      </c>
      <c r="V8" s="138">
        <f t="shared" si="9"/>
        <v>48</v>
      </c>
      <c r="W8" s="139" t="s">
        <v>32</v>
      </c>
      <c r="X8" s="138">
        <f t="shared" si="10"/>
        <v>48</v>
      </c>
      <c r="Y8" s="139" t="s">
        <v>32</v>
      </c>
      <c r="Z8" s="138">
        <f t="shared" si="11"/>
        <v>48</v>
      </c>
      <c r="AA8" s="139" t="s">
        <v>32</v>
      </c>
    </row>
    <row r="9" spans="1:27" ht="15.75">
      <c r="A9" s="15" t="s">
        <v>41</v>
      </c>
      <c r="B9" s="133">
        <f>план!B9</f>
        <v>0</v>
      </c>
      <c r="C9" s="107" t="s">
        <v>32</v>
      </c>
      <c r="D9" s="16">
        <f t="shared" si="0"/>
        <v>0</v>
      </c>
      <c r="E9" s="17" t="s">
        <v>32</v>
      </c>
      <c r="F9" s="16">
        <f t="shared" si="1"/>
        <v>0</v>
      </c>
      <c r="G9" s="17" t="s">
        <v>32</v>
      </c>
      <c r="H9" s="16">
        <f t="shared" si="2"/>
        <v>0</v>
      </c>
      <c r="I9" s="17" t="s">
        <v>32</v>
      </c>
      <c r="J9" s="16">
        <f t="shared" si="3"/>
        <v>0</v>
      </c>
      <c r="K9" s="17" t="s">
        <v>32</v>
      </c>
      <c r="L9" s="16">
        <f t="shared" si="4"/>
        <v>0</v>
      </c>
      <c r="M9" s="17" t="s">
        <v>32</v>
      </c>
      <c r="N9" s="138">
        <f t="shared" si="5"/>
        <v>0</v>
      </c>
      <c r="O9" s="139" t="s">
        <v>32</v>
      </c>
      <c r="P9" s="138">
        <f t="shared" si="6"/>
        <v>0</v>
      </c>
      <c r="Q9" s="139" t="s">
        <v>32</v>
      </c>
      <c r="R9" s="138">
        <f t="shared" si="7"/>
        <v>0</v>
      </c>
      <c r="S9" s="139" t="s">
        <v>32</v>
      </c>
      <c r="T9" s="138">
        <f t="shared" si="8"/>
        <v>0</v>
      </c>
      <c r="U9" s="139" t="s">
        <v>32</v>
      </c>
      <c r="V9" s="138">
        <f t="shared" si="9"/>
        <v>0</v>
      </c>
      <c r="W9" s="139" t="s">
        <v>32</v>
      </c>
      <c r="X9" s="138">
        <f t="shared" si="10"/>
        <v>0</v>
      </c>
      <c r="Y9" s="139" t="s">
        <v>32</v>
      </c>
      <c r="Z9" s="138">
        <f t="shared" si="11"/>
        <v>0</v>
      </c>
      <c r="AA9" s="139" t="s">
        <v>32</v>
      </c>
    </row>
    <row r="10" spans="1:27" ht="15.75">
      <c r="A10" s="15" t="s">
        <v>42</v>
      </c>
      <c r="B10" s="133">
        <f>план!B10</f>
        <v>144</v>
      </c>
      <c r="C10" s="107" t="s">
        <v>43</v>
      </c>
      <c r="D10" s="16">
        <f t="shared" si="0"/>
        <v>144</v>
      </c>
      <c r="E10" s="17" t="s">
        <v>43</v>
      </c>
      <c r="F10" s="16">
        <f t="shared" si="1"/>
        <v>144</v>
      </c>
      <c r="G10" s="17" t="s">
        <v>43</v>
      </c>
      <c r="H10" s="16">
        <f t="shared" si="2"/>
        <v>144</v>
      </c>
      <c r="I10" s="17" t="s">
        <v>43</v>
      </c>
      <c r="J10" s="16">
        <f t="shared" si="3"/>
        <v>144</v>
      </c>
      <c r="K10" s="17" t="s">
        <v>43</v>
      </c>
      <c r="L10" s="16">
        <f t="shared" si="4"/>
        <v>144</v>
      </c>
      <c r="M10" s="17" t="s">
        <v>43</v>
      </c>
      <c r="N10" s="138">
        <f t="shared" si="5"/>
        <v>144</v>
      </c>
      <c r="O10" s="139" t="s">
        <v>43</v>
      </c>
      <c r="P10" s="138">
        <f t="shared" si="6"/>
        <v>144</v>
      </c>
      <c r="Q10" s="139" t="s">
        <v>43</v>
      </c>
      <c r="R10" s="138">
        <f t="shared" si="7"/>
        <v>144</v>
      </c>
      <c r="S10" s="139" t="s">
        <v>43</v>
      </c>
      <c r="T10" s="138">
        <f t="shared" si="8"/>
        <v>144</v>
      </c>
      <c r="U10" s="139" t="s">
        <v>43</v>
      </c>
      <c r="V10" s="138">
        <f t="shared" si="9"/>
        <v>144</v>
      </c>
      <c r="W10" s="139" t="s">
        <v>43</v>
      </c>
      <c r="X10" s="138">
        <f t="shared" si="10"/>
        <v>144</v>
      </c>
      <c r="Y10" s="139" t="s">
        <v>43</v>
      </c>
      <c r="Z10" s="138">
        <f t="shared" si="11"/>
        <v>144</v>
      </c>
      <c r="AA10" s="139" t="s">
        <v>43</v>
      </c>
    </row>
    <row r="11" spans="1:27" ht="15.75">
      <c r="A11" s="15" t="s">
        <v>44</v>
      </c>
      <c r="B11" s="134">
        <f>план!B11</f>
        <v>0</v>
      </c>
      <c r="C11" s="107" t="s">
        <v>36</v>
      </c>
      <c r="D11" s="18">
        <f t="shared" si="0"/>
        <v>0</v>
      </c>
      <c r="E11" s="17" t="s">
        <v>36</v>
      </c>
      <c r="F11" s="18">
        <f t="shared" si="1"/>
        <v>0</v>
      </c>
      <c r="G11" s="17" t="s">
        <v>36</v>
      </c>
      <c r="H11" s="18">
        <f t="shared" si="2"/>
        <v>0</v>
      </c>
      <c r="I11" s="17" t="s">
        <v>36</v>
      </c>
      <c r="J11" s="18">
        <f t="shared" si="3"/>
        <v>0</v>
      </c>
      <c r="K11" s="17" t="s">
        <v>36</v>
      </c>
      <c r="L11" s="18">
        <f t="shared" si="4"/>
        <v>0</v>
      </c>
      <c r="M11" s="17" t="s">
        <v>36</v>
      </c>
      <c r="N11" s="140">
        <f t="shared" si="5"/>
        <v>0</v>
      </c>
      <c r="O11" s="139" t="s">
        <v>36</v>
      </c>
      <c r="P11" s="140">
        <f t="shared" si="6"/>
        <v>0</v>
      </c>
      <c r="Q11" s="139" t="s">
        <v>36</v>
      </c>
      <c r="R11" s="140">
        <f t="shared" si="7"/>
        <v>0</v>
      </c>
      <c r="S11" s="139" t="s">
        <v>36</v>
      </c>
      <c r="T11" s="140">
        <f t="shared" si="8"/>
        <v>0</v>
      </c>
      <c r="U11" s="139" t="s">
        <v>36</v>
      </c>
      <c r="V11" s="140">
        <f t="shared" si="9"/>
        <v>0</v>
      </c>
      <c r="W11" s="139" t="s">
        <v>36</v>
      </c>
      <c r="X11" s="140">
        <f t="shared" si="10"/>
        <v>0</v>
      </c>
      <c r="Y11" s="139" t="s">
        <v>36</v>
      </c>
      <c r="Z11" s="140">
        <f t="shared" si="11"/>
        <v>0</v>
      </c>
      <c r="AA11" s="139" t="s">
        <v>36</v>
      </c>
    </row>
    <row r="12" spans="1:27" ht="15.75">
      <c r="A12" s="15" t="s">
        <v>45</v>
      </c>
      <c r="B12" s="134">
        <f>план!B12</f>
        <v>1</v>
      </c>
      <c r="C12" s="107" t="s">
        <v>36</v>
      </c>
      <c r="D12" s="18">
        <f t="shared" si="0"/>
        <v>1</v>
      </c>
      <c r="E12" s="17" t="s">
        <v>36</v>
      </c>
      <c r="F12" s="18">
        <f t="shared" si="1"/>
        <v>1</v>
      </c>
      <c r="G12" s="17" t="s">
        <v>36</v>
      </c>
      <c r="H12" s="18">
        <f t="shared" si="2"/>
        <v>1</v>
      </c>
      <c r="I12" s="17" t="s">
        <v>36</v>
      </c>
      <c r="J12" s="18">
        <f t="shared" si="3"/>
        <v>1</v>
      </c>
      <c r="K12" s="17" t="s">
        <v>36</v>
      </c>
      <c r="L12" s="18">
        <f t="shared" si="4"/>
        <v>1</v>
      </c>
      <c r="M12" s="17" t="s">
        <v>36</v>
      </c>
      <c r="N12" s="140">
        <f t="shared" si="5"/>
        <v>1</v>
      </c>
      <c r="O12" s="139" t="s">
        <v>36</v>
      </c>
      <c r="P12" s="140">
        <f t="shared" si="6"/>
        <v>1</v>
      </c>
      <c r="Q12" s="139" t="s">
        <v>36</v>
      </c>
      <c r="R12" s="140">
        <f t="shared" si="7"/>
        <v>1</v>
      </c>
      <c r="S12" s="139" t="s">
        <v>36</v>
      </c>
      <c r="T12" s="140">
        <f t="shared" si="8"/>
        <v>1</v>
      </c>
      <c r="U12" s="139" t="s">
        <v>36</v>
      </c>
      <c r="V12" s="140">
        <f t="shared" si="9"/>
        <v>1</v>
      </c>
      <c r="W12" s="139" t="s">
        <v>36</v>
      </c>
      <c r="X12" s="140">
        <f t="shared" si="10"/>
        <v>1</v>
      </c>
      <c r="Y12" s="139" t="s">
        <v>36</v>
      </c>
      <c r="Z12" s="140">
        <f t="shared" si="11"/>
        <v>1</v>
      </c>
      <c r="AA12" s="139" t="s">
        <v>36</v>
      </c>
    </row>
    <row r="13" spans="1:27" ht="15.75">
      <c r="A13" s="15" t="s">
        <v>46</v>
      </c>
      <c r="B13" s="133">
        <f>план!B13</f>
        <v>50</v>
      </c>
      <c r="C13" s="107" t="s">
        <v>32</v>
      </c>
      <c r="D13" s="16">
        <f t="shared" si="0"/>
        <v>50</v>
      </c>
      <c r="E13" s="17" t="s">
        <v>32</v>
      </c>
      <c r="F13" s="16">
        <f t="shared" si="1"/>
        <v>50</v>
      </c>
      <c r="G13" s="17" t="s">
        <v>32</v>
      </c>
      <c r="H13" s="16">
        <f t="shared" si="2"/>
        <v>50</v>
      </c>
      <c r="I13" s="17" t="s">
        <v>32</v>
      </c>
      <c r="J13" s="16">
        <f t="shared" si="3"/>
        <v>50</v>
      </c>
      <c r="K13" s="17" t="s">
        <v>32</v>
      </c>
      <c r="L13" s="16">
        <f t="shared" si="4"/>
        <v>50</v>
      </c>
      <c r="M13" s="17" t="s">
        <v>32</v>
      </c>
      <c r="N13" s="138">
        <f t="shared" si="5"/>
        <v>50</v>
      </c>
      <c r="O13" s="139" t="s">
        <v>32</v>
      </c>
      <c r="P13" s="138">
        <f t="shared" si="6"/>
        <v>50</v>
      </c>
      <c r="Q13" s="139" t="s">
        <v>32</v>
      </c>
      <c r="R13" s="138">
        <f t="shared" si="7"/>
        <v>50</v>
      </c>
      <c r="S13" s="139" t="s">
        <v>32</v>
      </c>
      <c r="T13" s="138">
        <f t="shared" si="8"/>
        <v>50</v>
      </c>
      <c r="U13" s="139" t="s">
        <v>32</v>
      </c>
      <c r="V13" s="138">
        <f t="shared" si="9"/>
        <v>50</v>
      </c>
      <c r="W13" s="139" t="s">
        <v>32</v>
      </c>
      <c r="X13" s="138">
        <f t="shared" si="10"/>
        <v>50</v>
      </c>
      <c r="Y13" s="139" t="s">
        <v>32</v>
      </c>
      <c r="Z13" s="138">
        <f t="shared" si="11"/>
        <v>50</v>
      </c>
      <c r="AA13" s="139" t="s">
        <v>32</v>
      </c>
    </row>
    <row r="14" spans="1:27" ht="15.75">
      <c r="A14" s="15" t="s">
        <v>47</v>
      </c>
      <c r="B14" s="133">
        <f>план!B14</f>
        <v>68</v>
      </c>
      <c r="C14" s="107" t="s">
        <v>32</v>
      </c>
      <c r="D14" s="16">
        <f t="shared" si="0"/>
        <v>68</v>
      </c>
      <c r="E14" s="17" t="s">
        <v>32</v>
      </c>
      <c r="F14" s="16">
        <f t="shared" si="1"/>
        <v>68</v>
      </c>
      <c r="G14" s="17" t="s">
        <v>32</v>
      </c>
      <c r="H14" s="16">
        <f t="shared" si="2"/>
        <v>68</v>
      </c>
      <c r="I14" s="17" t="s">
        <v>32</v>
      </c>
      <c r="J14" s="16">
        <f t="shared" si="3"/>
        <v>68</v>
      </c>
      <c r="K14" s="17" t="s">
        <v>32</v>
      </c>
      <c r="L14" s="16">
        <f t="shared" si="4"/>
        <v>68</v>
      </c>
      <c r="M14" s="17" t="s">
        <v>32</v>
      </c>
      <c r="N14" s="138">
        <f t="shared" si="5"/>
        <v>68</v>
      </c>
      <c r="O14" s="139" t="s">
        <v>32</v>
      </c>
      <c r="P14" s="138">
        <f t="shared" si="6"/>
        <v>68</v>
      </c>
      <c r="Q14" s="139" t="s">
        <v>32</v>
      </c>
      <c r="R14" s="138">
        <f t="shared" si="7"/>
        <v>68</v>
      </c>
      <c r="S14" s="139" t="s">
        <v>32</v>
      </c>
      <c r="T14" s="138">
        <f t="shared" si="8"/>
        <v>68</v>
      </c>
      <c r="U14" s="139" t="s">
        <v>32</v>
      </c>
      <c r="V14" s="138">
        <f t="shared" si="9"/>
        <v>68</v>
      </c>
      <c r="W14" s="139" t="s">
        <v>32</v>
      </c>
      <c r="X14" s="138">
        <f t="shared" si="10"/>
        <v>68</v>
      </c>
      <c r="Y14" s="139" t="s">
        <v>32</v>
      </c>
      <c r="Z14" s="138">
        <f t="shared" si="11"/>
        <v>68</v>
      </c>
      <c r="AA14" s="139" t="s">
        <v>32</v>
      </c>
    </row>
    <row r="15" spans="1:27" ht="15.75">
      <c r="A15" s="15" t="s">
        <v>48</v>
      </c>
      <c r="B15" s="133">
        <f>план!B15</f>
        <v>0</v>
      </c>
      <c r="C15" s="107" t="s">
        <v>32</v>
      </c>
      <c r="D15" s="16">
        <f t="shared" si="0"/>
        <v>0</v>
      </c>
      <c r="E15" s="17" t="s">
        <v>32</v>
      </c>
      <c r="F15" s="16">
        <f t="shared" si="1"/>
        <v>0</v>
      </c>
      <c r="G15" s="17" t="s">
        <v>32</v>
      </c>
      <c r="H15" s="16">
        <f t="shared" si="2"/>
        <v>0</v>
      </c>
      <c r="I15" s="17" t="s">
        <v>32</v>
      </c>
      <c r="J15" s="16">
        <f t="shared" si="3"/>
        <v>0</v>
      </c>
      <c r="K15" s="17" t="s">
        <v>32</v>
      </c>
      <c r="L15" s="16">
        <f t="shared" si="4"/>
        <v>0</v>
      </c>
      <c r="M15" s="17" t="s">
        <v>32</v>
      </c>
      <c r="N15" s="138">
        <f t="shared" si="5"/>
        <v>0</v>
      </c>
      <c r="O15" s="139" t="s">
        <v>32</v>
      </c>
      <c r="P15" s="138">
        <f t="shared" si="6"/>
        <v>0</v>
      </c>
      <c r="Q15" s="139" t="s">
        <v>32</v>
      </c>
      <c r="R15" s="138">
        <f t="shared" si="7"/>
        <v>0</v>
      </c>
      <c r="S15" s="139" t="s">
        <v>32</v>
      </c>
      <c r="T15" s="138">
        <f t="shared" si="8"/>
        <v>0</v>
      </c>
      <c r="U15" s="139" t="s">
        <v>32</v>
      </c>
      <c r="V15" s="138">
        <f t="shared" si="9"/>
        <v>0</v>
      </c>
      <c r="W15" s="139" t="s">
        <v>32</v>
      </c>
      <c r="X15" s="138">
        <f t="shared" si="10"/>
        <v>0</v>
      </c>
      <c r="Y15" s="139" t="s">
        <v>32</v>
      </c>
      <c r="Z15" s="138">
        <f t="shared" si="11"/>
        <v>0</v>
      </c>
      <c r="AA15" s="139" t="s">
        <v>32</v>
      </c>
    </row>
    <row r="16" spans="1:27" ht="15.75">
      <c r="A16" s="15" t="s">
        <v>49</v>
      </c>
      <c r="B16" s="133">
        <f>план!B16</f>
        <v>454.2</v>
      </c>
      <c r="C16" s="107" t="s">
        <v>32</v>
      </c>
      <c r="D16" s="16">
        <f t="shared" si="0"/>
        <v>454.2</v>
      </c>
      <c r="E16" s="17" t="s">
        <v>32</v>
      </c>
      <c r="F16" s="16">
        <f t="shared" si="1"/>
        <v>454.2</v>
      </c>
      <c r="G16" s="17" t="s">
        <v>32</v>
      </c>
      <c r="H16" s="16">
        <f t="shared" si="2"/>
        <v>454.2</v>
      </c>
      <c r="I16" s="17" t="s">
        <v>32</v>
      </c>
      <c r="J16" s="16">
        <f t="shared" si="3"/>
        <v>454.2</v>
      </c>
      <c r="K16" s="17" t="s">
        <v>32</v>
      </c>
      <c r="L16" s="16">
        <f t="shared" si="4"/>
        <v>454.2</v>
      </c>
      <c r="M16" s="17" t="s">
        <v>32</v>
      </c>
      <c r="N16" s="138">
        <f t="shared" si="5"/>
        <v>454.2</v>
      </c>
      <c r="O16" s="139" t="s">
        <v>32</v>
      </c>
      <c r="P16" s="138">
        <f t="shared" si="6"/>
        <v>454.2</v>
      </c>
      <c r="Q16" s="139" t="s">
        <v>32</v>
      </c>
      <c r="R16" s="138">
        <f t="shared" si="7"/>
        <v>454.2</v>
      </c>
      <c r="S16" s="139" t="s">
        <v>32</v>
      </c>
      <c r="T16" s="138">
        <f t="shared" si="8"/>
        <v>454.2</v>
      </c>
      <c r="U16" s="139" t="s">
        <v>32</v>
      </c>
      <c r="V16" s="138">
        <f t="shared" si="9"/>
        <v>454.2</v>
      </c>
      <c r="W16" s="139" t="s">
        <v>32</v>
      </c>
      <c r="X16" s="138">
        <f t="shared" si="10"/>
        <v>454.2</v>
      </c>
      <c r="Y16" s="139" t="s">
        <v>32</v>
      </c>
      <c r="Z16" s="138">
        <f t="shared" si="11"/>
        <v>454.2</v>
      </c>
      <c r="AA16" s="139" t="s">
        <v>32</v>
      </c>
    </row>
    <row r="17" spans="1:27" ht="15.75">
      <c r="A17" s="15" t="s">
        <v>50</v>
      </c>
      <c r="B17" s="133">
        <f>план!B17</f>
        <v>30</v>
      </c>
      <c r="C17" s="107" t="s">
        <v>32</v>
      </c>
      <c r="D17" s="16">
        <f t="shared" si="0"/>
        <v>30</v>
      </c>
      <c r="E17" s="17" t="s">
        <v>32</v>
      </c>
      <c r="F17" s="16">
        <f t="shared" si="1"/>
        <v>30</v>
      </c>
      <c r="G17" s="17" t="s">
        <v>32</v>
      </c>
      <c r="H17" s="16">
        <f t="shared" si="2"/>
        <v>30</v>
      </c>
      <c r="I17" s="17" t="s">
        <v>32</v>
      </c>
      <c r="J17" s="16">
        <f t="shared" si="3"/>
        <v>30</v>
      </c>
      <c r="K17" s="17" t="s">
        <v>32</v>
      </c>
      <c r="L17" s="16">
        <f t="shared" si="4"/>
        <v>30</v>
      </c>
      <c r="M17" s="17" t="s">
        <v>32</v>
      </c>
      <c r="N17" s="138">
        <f t="shared" si="5"/>
        <v>30</v>
      </c>
      <c r="O17" s="139" t="s">
        <v>32</v>
      </c>
      <c r="P17" s="138">
        <f t="shared" si="6"/>
        <v>30</v>
      </c>
      <c r="Q17" s="139" t="s">
        <v>32</v>
      </c>
      <c r="R17" s="138">
        <f t="shared" si="7"/>
        <v>30</v>
      </c>
      <c r="S17" s="139" t="s">
        <v>32</v>
      </c>
      <c r="T17" s="138">
        <f t="shared" si="8"/>
        <v>30</v>
      </c>
      <c r="U17" s="139" t="s">
        <v>32</v>
      </c>
      <c r="V17" s="138">
        <f t="shared" si="9"/>
        <v>30</v>
      </c>
      <c r="W17" s="139" t="s">
        <v>32</v>
      </c>
      <c r="X17" s="138">
        <f t="shared" si="10"/>
        <v>30</v>
      </c>
      <c r="Y17" s="139" t="s">
        <v>32</v>
      </c>
      <c r="Z17" s="138">
        <f t="shared" si="11"/>
        <v>30</v>
      </c>
      <c r="AA17" s="139" t="s">
        <v>32</v>
      </c>
    </row>
    <row r="18" spans="1:27" ht="47.25">
      <c r="A18" s="19" t="s">
        <v>51</v>
      </c>
      <c r="B18" s="110"/>
      <c r="C18" s="109"/>
      <c r="D18" s="20"/>
      <c r="E18" s="19"/>
      <c r="F18" s="20"/>
      <c r="G18" s="19"/>
      <c r="H18" s="20"/>
      <c r="I18" s="19"/>
      <c r="J18" s="20"/>
      <c r="K18" s="19"/>
      <c r="L18" s="20"/>
      <c r="M18" s="19"/>
      <c r="N18" s="142"/>
      <c r="O18" s="141"/>
      <c r="P18" s="142"/>
      <c r="Q18" s="141"/>
      <c r="R18" s="142"/>
      <c r="S18" s="141"/>
      <c r="T18" s="142"/>
      <c r="U18" s="141"/>
      <c r="V18" s="142"/>
      <c r="W18" s="141"/>
      <c r="X18" s="142"/>
      <c r="Y18" s="141"/>
      <c r="Z18" s="142"/>
      <c r="AA18" s="141"/>
    </row>
    <row r="19" spans="1:27" ht="15.75">
      <c r="A19" s="21" t="s">
        <v>52</v>
      </c>
      <c r="B19" s="111">
        <f>ROUND(B33*1.2,4)</f>
        <v>1.0482</v>
      </c>
      <c r="C19" s="112" t="s">
        <v>53</v>
      </c>
      <c r="D19" s="22">
        <f>ROUND(D33*1.2,4)</f>
        <v>1.9318</v>
      </c>
      <c r="E19" s="23" t="s">
        <v>53</v>
      </c>
      <c r="F19" s="22">
        <f>ROUND(F33*1.2,4)</f>
        <v>1.9785999999999999</v>
      </c>
      <c r="G19" s="23" t="s">
        <v>53</v>
      </c>
      <c r="H19" s="22">
        <f>ROUND(H33*1.2,4)</f>
        <v>2.3508</v>
      </c>
      <c r="I19" s="23" t="s">
        <v>53</v>
      </c>
      <c r="J19" s="22">
        <f>ROUND(J33*1.2,4)</f>
        <v>1.8239000000000001</v>
      </c>
      <c r="K19" s="23" t="s">
        <v>53</v>
      </c>
      <c r="L19" s="22">
        <f>ROUND(L33*1.2,4)</f>
        <v>2.0091999999999999</v>
      </c>
      <c r="M19" s="23" t="s">
        <v>53</v>
      </c>
      <c r="N19" s="144">
        <f>ROUND(N33*1.2,4)</f>
        <v>2.0640999999999998</v>
      </c>
      <c r="O19" s="145" t="s">
        <v>53</v>
      </c>
      <c r="P19" s="144">
        <f>ROUND(P33*1.2,4)</f>
        <v>1.8319000000000001</v>
      </c>
      <c r="Q19" s="145" t="s">
        <v>53</v>
      </c>
      <c r="R19" s="144">
        <f>ROUND(R33*1.2,4)</f>
        <v>2.0213000000000001</v>
      </c>
      <c r="S19" s="145" t="s">
        <v>53</v>
      </c>
      <c r="T19" s="144">
        <f>ROUND(T33*1.2,4)</f>
        <v>1.6685000000000001</v>
      </c>
      <c r="U19" s="145" t="s">
        <v>53</v>
      </c>
      <c r="V19" s="144">
        <f>ROUND(V33*1.2,4)</f>
        <v>1.8882000000000001</v>
      </c>
      <c r="W19" s="145" t="s">
        <v>53</v>
      </c>
      <c r="X19" s="144">
        <f>ROUND(X33*1.2,4)</f>
        <v>2.0217999999999998</v>
      </c>
      <c r="Y19" s="145" t="s">
        <v>53</v>
      </c>
      <c r="Z19" s="144">
        <f>ROUND(Z33*1.2,4)</f>
        <v>1.9334</v>
      </c>
      <c r="AA19" s="145" t="s">
        <v>53</v>
      </c>
    </row>
    <row r="20" spans="1:27" ht="15.75">
      <c r="A20" s="24" t="str">
        <f t="shared" ref="A20:F20" si="12">A16</f>
        <v>убираемая территория</v>
      </c>
      <c r="B20" s="106">
        <f t="shared" si="12"/>
        <v>454.2</v>
      </c>
      <c r="C20" s="113" t="str">
        <f t="shared" si="12"/>
        <v>м2</v>
      </c>
      <c r="D20" s="16">
        <f t="shared" si="12"/>
        <v>454.2</v>
      </c>
      <c r="E20" s="25"/>
      <c r="F20" s="16">
        <f t="shared" si="12"/>
        <v>454.2</v>
      </c>
      <c r="G20" s="25"/>
      <c r="H20" s="16">
        <f>H16</f>
        <v>454.2</v>
      </c>
      <c r="I20" s="25"/>
      <c r="J20" s="16">
        <f>J16</f>
        <v>454.2</v>
      </c>
      <c r="K20" s="25"/>
      <c r="L20" s="16">
        <f>L16</f>
        <v>454.2</v>
      </c>
      <c r="M20" s="25"/>
      <c r="N20" s="138">
        <f>N16</f>
        <v>454.2</v>
      </c>
      <c r="O20" s="147"/>
      <c r="P20" s="138">
        <f>P16</f>
        <v>454.2</v>
      </c>
      <c r="Q20" s="147"/>
      <c r="R20" s="138">
        <f>R16</f>
        <v>454.2</v>
      </c>
      <c r="S20" s="147"/>
      <c r="T20" s="138">
        <f>T16</f>
        <v>454.2</v>
      </c>
      <c r="U20" s="147"/>
      <c r="V20" s="138">
        <f>V16</f>
        <v>454.2</v>
      </c>
      <c r="W20" s="147"/>
      <c r="X20" s="138">
        <f>X16</f>
        <v>454.2</v>
      </c>
      <c r="Y20" s="147"/>
      <c r="Z20" s="138">
        <f>Z16</f>
        <v>454.2</v>
      </c>
      <c r="AA20" s="147"/>
    </row>
    <row r="21" spans="1:27" ht="15.75">
      <c r="A21" s="24" t="s">
        <v>54</v>
      </c>
      <c r="B21" s="108">
        <v>6900</v>
      </c>
      <c r="C21" s="113" t="s">
        <v>32</v>
      </c>
      <c r="D21" s="18">
        <f>[2]зарплата!$D$2</f>
        <v>9508.6140740740739</v>
      </c>
      <c r="E21" s="25"/>
      <c r="F21" s="18">
        <f>[2]зарплата!$E$2</f>
        <v>9874.33</v>
      </c>
      <c r="G21" s="25"/>
      <c r="H21" s="18">
        <f>[2]зарплата!$F$2</f>
        <v>9169.0207142857143</v>
      </c>
      <c r="I21" s="25"/>
      <c r="J21" s="18">
        <f>[2]зарплата!$G$2</f>
        <v>9508.6140740740739</v>
      </c>
      <c r="K21" s="25"/>
      <c r="L21" s="18">
        <f>[2]зарплата!$H$2</f>
        <v>8852.8475862068954</v>
      </c>
      <c r="M21" s="25"/>
      <c r="N21" s="140">
        <f>[2]зарплата!$I$2</f>
        <v>9169.0207142857143</v>
      </c>
      <c r="O21" s="147"/>
      <c r="P21" s="140">
        <f>[2]зарплата!$J$2</f>
        <v>9169.0207142857143</v>
      </c>
      <c r="Q21" s="147"/>
      <c r="R21" s="140">
        <f>[2]зарплата!$K$2</f>
        <v>10269.3032</v>
      </c>
      <c r="S21" s="147"/>
      <c r="T21" s="140">
        <f>[2]зарплата!$L$2</f>
        <v>9874.33</v>
      </c>
      <c r="U21" s="147"/>
      <c r="V21" s="140">
        <f>[2]зарплата!$M$2</f>
        <v>9508.6140740740739</v>
      </c>
      <c r="W21" s="147"/>
      <c r="X21" s="140">
        <f>[2]зарплата!$N$2</f>
        <v>9508.6140740740739</v>
      </c>
      <c r="Y21" s="147"/>
      <c r="Z21" s="140">
        <f>[2]зарплата!$O$2</f>
        <v>8852.8475862068954</v>
      </c>
      <c r="AA21" s="147"/>
    </row>
    <row r="22" spans="1:27" ht="15.75">
      <c r="A22" s="24" t="s">
        <v>55</v>
      </c>
      <c r="B22" s="106">
        <v>4719.32</v>
      </c>
      <c r="C22" s="113" t="s">
        <v>53</v>
      </c>
      <c r="D22" s="16">
        <f>[2]зарплата!$D$3</f>
        <v>6979.67</v>
      </c>
      <c r="E22" s="25"/>
      <c r="F22" s="16">
        <f>[2]зарплата!$E$3</f>
        <v>7017.73</v>
      </c>
      <c r="G22" s="25"/>
      <c r="H22" s="16">
        <f>[2]зарплата!$F$3</f>
        <v>7367.16</v>
      </c>
      <c r="I22" s="25"/>
      <c r="J22" s="16">
        <f>[2]зарплата!$G$3</f>
        <v>6280.54</v>
      </c>
      <c r="K22" s="25"/>
      <c r="L22" s="16">
        <f>[2]зарплата!$H$3</f>
        <v>6330.5</v>
      </c>
      <c r="M22" s="25"/>
      <c r="N22" s="138">
        <f>[2]зарплата!$I$3</f>
        <v>6094.35</v>
      </c>
      <c r="O22" s="147"/>
      <c r="P22" s="138">
        <f>[2]зарплата!$J$3</f>
        <v>6235.02</v>
      </c>
      <c r="Q22" s="147"/>
      <c r="R22" s="138">
        <f>[2]зарплата!$K$3</f>
        <v>6968.43</v>
      </c>
      <c r="S22" s="147"/>
      <c r="T22" s="138">
        <f>[2]зарплата!$L$3</f>
        <v>5993.13</v>
      </c>
      <c r="U22" s="147"/>
      <c r="V22" s="138">
        <f>[2]зарплата!$M$3</f>
        <v>6217.9</v>
      </c>
      <c r="W22" s="147"/>
      <c r="X22" s="138">
        <f>[2]зарплата!$N$3</f>
        <v>7692.38</v>
      </c>
      <c r="Y22" s="147"/>
      <c r="Z22" s="138">
        <f>[2]зарплата!$O$3</f>
        <v>6565.8</v>
      </c>
      <c r="AA22" s="147"/>
    </row>
    <row r="23" spans="1:27" ht="15.75">
      <c r="A23" s="24" t="s">
        <v>56</v>
      </c>
      <c r="B23" s="114">
        <v>0.22</v>
      </c>
      <c r="C23" s="113"/>
      <c r="D23" s="26">
        <v>0.22</v>
      </c>
      <c r="E23" s="25"/>
      <c r="F23" s="26">
        <v>0.22</v>
      </c>
      <c r="G23" s="25"/>
      <c r="H23" s="26">
        <v>0.22</v>
      </c>
      <c r="I23" s="25"/>
      <c r="J23" s="26">
        <v>0.22</v>
      </c>
      <c r="K23" s="25"/>
      <c r="L23" s="26">
        <v>0.22</v>
      </c>
      <c r="M23" s="25"/>
      <c r="N23" s="148">
        <v>0.22</v>
      </c>
      <c r="O23" s="147"/>
      <c r="P23" s="148">
        <v>0.22</v>
      </c>
      <c r="Q23" s="147"/>
      <c r="R23" s="148">
        <v>0.22</v>
      </c>
      <c r="S23" s="147"/>
      <c r="T23" s="148">
        <v>0.22</v>
      </c>
      <c r="U23" s="147"/>
      <c r="V23" s="148">
        <v>0.22</v>
      </c>
      <c r="W23" s="147"/>
      <c r="X23" s="148">
        <v>0.22</v>
      </c>
      <c r="Y23" s="147"/>
      <c r="Z23" s="148">
        <v>0.22</v>
      </c>
      <c r="AA23" s="147"/>
    </row>
    <row r="24" spans="1:27" ht="15.75">
      <c r="A24" s="24" t="s">
        <v>57</v>
      </c>
      <c r="B24" s="114">
        <v>0.5</v>
      </c>
      <c r="C24" s="113"/>
      <c r="D24" s="69">
        <f>'[2]Сиз и ТМЦ'!$F$2</f>
        <v>1.7736000000000001</v>
      </c>
      <c r="E24" s="25"/>
      <c r="F24" s="70">
        <f>'[2]Сиз и ТМЦ'!$F$3</f>
        <v>1.9014</v>
      </c>
      <c r="G24" s="25"/>
      <c r="H24" s="70">
        <f>'[2]Сиз и ТМЦ'!$F$4</f>
        <v>2.1299000000000001</v>
      </c>
      <c r="I24" s="25"/>
      <c r="J24" s="70">
        <f>'[2]Сиз и ТМЦ'!$F$5</f>
        <v>1.9529000000000001</v>
      </c>
      <c r="K24" s="25"/>
      <c r="L24" s="70">
        <f>'[2]Сиз и ТМЦ'!$F$6</f>
        <v>1.8880999999999999</v>
      </c>
      <c r="M24" s="25"/>
      <c r="N24" s="148">
        <f>'[2]Сиз и ТМЦ'!$F$7</f>
        <v>2.2700999999999998</v>
      </c>
      <c r="O24" s="147"/>
      <c r="P24" s="148">
        <f>'[2]Сиз и ТМЦ'!$F$8</f>
        <v>1.8502000000000001</v>
      </c>
      <c r="Q24" s="147"/>
      <c r="R24" s="148">
        <f>'[2]Сиз и ТМЦ'!$F$9</f>
        <v>2.09</v>
      </c>
      <c r="S24" s="147"/>
      <c r="T24" s="148">
        <f>'[2]Сиз и ТМЦ'!$F$10</f>
        <v>1.8043</v>
      </c>
      <c r="U24" s="147"/>
      <c r="V24" s="148">
        <f>'[2]Сиз и ТМЦ'!$F$11</f>
        <v>2.0918999999999999</v>
      </c>
      <c r="W24" s="147"/>
      <c r="X24" s="148">
        <f>'[2]Сиз и ТМЦ'!$F$12</f>
        <v>1.6333</v>
      </c>
      <c r="Y24" s="147"/>
      <c r="Z24" s="148">
        <f>'[2]Сиз и ТМЦ'!$F$13</f>
        <v>1.7729999999999999</v>
      </c>
      <c r="AA24" s="147"/>
    </row>
    <row r="25" spans="1:27" s="30" customFormat="1" ht="15.75">
      <c r="A25" s="27" t="s">
        <v>58</v>
      </c>
      <c r="B25" s="118">
        <v>202.08</v>
      </c>
      <c r="C25" s="119" t="s">
        <v>53</v>
      </c>
      <c r="D25" s="28">
        <f>'[2]Сиз и ТМЦ'!$B$2</f>
        <v>211.66666666666666</v>
      </c>
      <c r="E25" s="29"/>
      <c r="F25" s="28">
        <f>'[2]Сиз и ТМЦ'!$B$3</f>
        <v>558.20153846153846</v>
      </c>
      <c r="G25" s="29"/>
      <c r="H25" s="28">
        <f>'[2]Сиз и ТМЦ'!$B$4</f>
        <v>122.87142857142858</v>
      </c>
      <c r="I25" s="29"/>
      <c r="J25" s="28">
        <f>'[2]Сиз и ТМЦ'!$B$5</f>
        <v>0</v>
      </c>
      <c r="K25" s="29"/>
      <c r="L25" s="28">
        <f>'[2]Сиз и ТМЦ'!$B$6</f>
        <v>778.5955172413793</v>
      </c>
      <c r="M25" s="29"/>
      <c r="N25" s="135">
        <f>'[2]Сиз и ТМЦ'!$B$7</f>
        <v>507.62428571428569</v>
      </c>
      <c r="O25" s="119"/>
      <c r="P25" s="135">
        <f>'[2]Сиз и ТМЦ'!$B$8</f>
        <v>185.45285714285714</v>
      </c>
      <c r="Q25" s="119"/>
      <c r="R25" s="135">
        <f>'[2]Сиз и ТМЦ'!$B$10</f>
        <v>816.98730769230758</v>
      </c>
      <c r="S25" s="119"/>
      <c r="T25" s="135">
        <f>'[2]Сиз и ТМЦ'!$B$10</f>
        <v>816.98730769230758</v>
      </c>
      <c r="U25" s="119"/>
      <c r="V25" s="135">
        <f>'[2]Сиз и ТМЦ'!$B$11</f>
        <v>37.276299999999999</v>
      </c>
      <c r="W25" s="119"/>
      <c r="X25" s="135">
        <f>'[2]Сиз и ТМЦ'!$B$12</f>
        <v>140</v>
      </c>
      <c r="Y25" s="119"/>
      <c r="Z25" s="135">
        <f>'[2]Сиз и ТМЦ'!$B$13</f>
        <v>31.517241379310345</v>
      </c>
      <c r="AA25" s="119"/>
    </row>
    <row r="26" spans="1:27" ht="15.75">
      <c r="A26" s="24" t="s">
        <v>59</v>
      </c>
      <c r="B26" s="115">
        <f>ROUND(B20/B21,4)</f>
        <v>6.5799999999999997E-2</v>
      </c>
      <c r="C26" s="113" t="s">
        <v>60</v>
      </c>
      <c r="D26" s="31">
        <f>ROUND(D20/D21,4)</f>
        <v>4.7800000000000002E-2</v>
      </c>
      <c r="E26" s="25"/>
      <c r="F26" s="31">
        <f>ROUND(F20/F21,4)</f>
        <v>4.5999999999999999E-2</v>
      </c>
      <c r="G26" s="25"/>
      <c r="H26" s="31">
        <f>ROUND(H20/H21,4)</f>
        <v>4.9500000000000002E-2</v>
      </c>
      <c r="I26" s="25"/>
      <c r="J26" s="31">
        <f>ROUND(J20/J21,4)</f>
        <v>4.7800000000000002E-2</v>
      </c>
      <c r="K26" s="25"/>
      <c r="L26" s="31">
        <f>ROUND(L20/L21,4)</f>
        <v>5.1299999999999998E-2</v>
      </c>
      <c r="M26" s="25"/>
      <c r="N26" s="149">
        <f>ROUND(N20/N21,4)</f>
        <v>4.9500000000000002E-2</v>
      </c>
      <c r="O26" s="147"/>
      <c r="P26" s="149">
        <f>ROUND(P20/P21,4)</f>
        <v>4.9500000000000002E-2</v>
      </c>
      <c r="Q26" s="147"/>
      <c r="R26" s="149">
        <f>ROUND(R20/R21,4)</f>
        <v>4.4200000000000003E-2</v>
      </c>
      <c r="S26" s="147"/>
      <c r="T26" s="149">
        <f>ROUND(T20/T21,4)</f>
        <v>4.5999999999999999E-2</v>
      </c>
      <c r="U26" s="147"/>
      <c r="V26" s="149">
        <f>ROUND(V20/V21,4)</f>
        <v>4.7800000000000002E-2</v>
      </c>
      <c r="W26" s="147"/>
      <c r="X26" s="149">
        <f>ROUND(X20/X21,4)</f>
        <v>4.7800000000000002E-2</v>
      </c>
      <c r="Y26" s="147"/>
      <c r="Z26" s="149">
        <f>ROUND(Z20/Z21,4)</f>
        <v>5.1299999999999998E-2</v>
      </c>
      <c r="AA26" s="147"/>
    </row>
    <row r="27" spans="1:27" ht="15.75">
      <c r="A27" s="24" t="s">
        <v>61</v>
      </c>
      <c r="B27" s="115">
        <f>ROUND(B26*B22,4)</f>
        <v>310.53129999999999</v>
      </c>
      <c r="C27" s="113" t="s">
        <v>53</v>
      </c>
      <c r="D27" s="31">
        <f>ROUND(D26*D22,4)</f>
        <v>333.62819999999999</v>
      </c>
      <c r="E27" s="25"/>
      <c r="F27" s="31">
        <f>ROUND(F26*F22,4)</f>
        <v>322.81560000000002</v>
      </c>
      <c r="G27" s="25"/>
      <c r="H27" s="31">
        <f>ROUND(H26*H22,4)</f>
        <v>364.67439999999999</v>
      </c>
      <c r="I27" s="25"/>
      <c r="J27" s="31">
        <f>ROUND(J26*J22,4)</f>
        <v>300.20979999999997</v>
      </c>
      <c r="K27" s="25"/>
      <c r="L27" s="31">
        <f>ROUND(L26*L22,4)</f>
        <v>324.75470000000001</v>
      </c>
      <c r="M27" s="25"/>
      <c r="N27" s="149">
        <f>ROUND(N26*N22,4)</f>
        <v>301.6703</v>
      </c>
      <c r="O27" s="147"/>
      <c r="P27" s="149">
        <f>ROUND(P26*P22,4)</f>
        <v>308.63350000000003</v>
      </c>
      <c r="Q27" s="147"/>
      <c r="R27" s="149">
        <f>ROUND(R26*R22,4)</f>
        <v>308.00459999999998</v>
      </c>
      <c r="S27" s="147"/>
      <c r="T27" s="149">
        <f>ROUND(T26*T22,4)</f>
        <v>275.68400000000003</v>
      </c>
      <c r="U27" s="147"/>
      <c r="V27" s="149">
        <f>ROUND(V26*V22,4)</f>
        <v>297.21559999999999</v>
      </c>
      <c r="W27" s="147"/>
      <c r="X27" s="149">
        <f>ROUND(X26*X22,4)</f>
        <v>367.69580000000002</v>
      </c>
      <c r="Y27" s="147"/>
      <c r="Z27" s="149">
        <f>ROUND(Z26*Z22,4)</f>
        <v>336.82549999999998</v>
      </c>
      <c r="AA27" s="147"/>
    </row>
    <row r="28" spans="1:27" ht="15.75">
      <c r="A28" s="24" t="s">
        <v>62</v>
      </c>
      <c r="B28" s="115">
        <f>ROUND(B27*B23,4)</f>
        <v>68.316900000000004</v>
      </c>
      <c r="C28" s="113" t="s">
        <v>53</v>
      </c>
      <c r="D28" s="31">
        <f>ROUND(D27*D23,4)</f>
        <v>73.398200000000003</v>
      </c>
      <c r="E28" s="25"/>
      <c r="F28" s="31">
        <f>ROUND(F27*F23,4)</f>
        <v>71.019400000000005</v>
      </c>
      <c r="G28" s="25"/>
      <c r="H28" s="31">
        <f>ROUND(H27*H23,4)</f>
        <v>80.228399999999993</v>
      </c>
      <c r="I28" s="25"/>
      <c r="J28" s="31">
        <f>ROUND(J27*J23,4)</f>
        <v>66.046199999999999</v>
      </c>
      <c r="K28" s="25"/>
      <c r="L28" s="31">
        <f>ROUND(L27*L23,4)</f>
        <v>71.445999999999998</v>
      </c>
      <c r="M28" s="25"/>
      <c r="N28" s="149">
        <f>ROUND(N27*N23,4)</f>
        <v>66.367500000000007</v>
      </c>
      <c r="O28" s="147"/>
      <c r="P28" s="149">
        <f>ROUND(P27*P23,4)</f>
        <v>67.8994</v>
      </c>
      <c r="Q28" s="147"/>
      <c r="R28" s="149">
        <f>ROUND(R27*R23,4)</f>
        <v>67.760999999999996</v>
      </c>
      <c r="S28" s="147"/>
      <c r="T28" s="149">
        <f>ROUND(T27*T23,4)</f>
        <v>60.650500000000001</v>
      </c>
      <c r="U28" s="147"/>
      <c r="V28" s="149">
        <f>ROUND(V27*V23,4)</f>
        <v>65.3874</v>
      </c>
      <c r="W28" s="147"/>
      <c r="X28" s="149">
        <f>ROUND(X27*X23,4)</f>
        <v>80.893100000000004</v>
      </c>
      <c r="Y28" s="147"/>
      <c r="Z28" s="149">
        <f>ROUND(Z27*Z23,4)</f>
        <v>74.101600000000005</v>
      </c>
      <c r="AA28" s="147"/>
    </row>
    <row r="29" spans="1:27" ht="15.75">
      <c r="A29" s="24" t="s">
        <v>63</v>
      </c>
      <c r="B29" s="115">
        <f>B27*B24</f>
        <v>155.26564999999999</v>
      </c>
      <c r="C29" s="113" t="s">
        <v>53</v>
      </c>
      <c r="D29" s="31">
        <f>D27*D24</f>
        <v>591.72297551999998</v>
      </c>
      <c r="E29" s="25"/>
      <c r="F29" s="31">
        <f>F27*F24</f>
        <v>613.80158184000004</v>
      </c>
      <c r="G29" s="25"/>
      <c r="H29" s="31">
        <f>H27*H24</f>
        <v>776.72000456000001</v>
      </c>
      <c r="I29" s="25"/>
      <c r="J29" s="31">
        <f>J27*J24</f>
        <v>586.27971841999999</v>
      </c>
      <c r="K29" s="25"/>
      <c r="L29" s="31">
        <f>L27*L24</f>
        <v>613.16934906999995</v>
      </c>
      <c r="M29" s="25"/>
      <c r="N29" s="149">
        <f>N27*N24</f>
        <v>684.82174802999998</v>
      </c>
      <c r="O29" s="147"/>
      <c r="P29" s="149">
        <f>P27*P24</f>
        <v>571.03370170000005</v>
      </c>
      <c r="Q29" s="147"/>
      <c r="R29" s="149">
        <f>R27*R24</f>
        <v>643.72961399999997</v>
      </c>
      <c r="S29" s="147"/>
      <c r="T29" s="149">
        <f>T27*T24</f>
        <v>497.41664120000007</v>
      </c>
      <c r="U29" s="147"/>
      <c r="V29" s="149">
        <f>V27*V24</f>
        <v>621.74531363999995</v>
      </c>
      <c r="W29" s="147"/>
      <c r="X29" s="149">
        <f>X27*X24</f>
        <v>600.55755013999999</v>
      </c>
      <c r="Y29" s="147"/>
      <c r="Z29" s="149">
        <f>Z27*Z24</f>
        <v>597.19161149999991</v>
      </c>
      <c r="AA29" s="147"/>
    </row>
    <row r="30" spans="1:27" ht="15.75">
      <c r="A30" s="24" t="s">
        <v>64</v>
      </c>
      <c r="B30" s="115">
        <f>ROUND(B25*B26,4)</f>
        <v>13.296900000000001</v>
      </c>
      <c r="C30" s="113" t="s">
        <v>53</v>
      </c>
      <c r="D30" s="31">
        <f>ROUND(D25*D26,4)</f>
        <v>10.117699999999999</v>
      </c>
      <c r="E30" s="25"/>
      <c r="F30" s="31">
        <f>ROUND(F25*F26,4)</f>
        <v>25.677299999999999</v>
      </c>
      <c r="G30" s="25"/>
      <c r="H30" s="31">
        <f>ROUND(H25*H26,4)</f>
        <v>6.0820999999999996</v>
      </c>
      <c r="I30" s="25"/>
      <c r="J30" s="31">
        <f>ROUND(J25*J26,4)</f>
        <v>0</v>
      </c>
      <c r="K30" s="25"/>
      <c r="L30" s="31">
        <f>ROUND(L25*L26,4)</f>
        <v>39.942</v>
      </c>
      <c r="M30" s="25"/>
      <c r="N30" s="149">
        <f>ROUND(N25*N26,4)</f>
        <v>25.127400000000002</v>
      </c>
      <c r="O30" s="147"/>
      <c r="P30" s="149">
        <f>ROUND(P25*P26,4)</f>
        <v>9.1798999999999999</v>
      </c>
      <c r="Q30" s="147"/>
      <c r="R30" s="149">
        <f>ROUND(R25*R26,4)</f>
        <v>36.110799999999998</v>
      </c>
      <c r="S30" s="147"/>
      <c r="T30" s="149">
        <f>ROUND(T25*T26,4)</f>
        <v>37.581400000000002</v>
      </c>
      <c r="U30" s="147"/>
      <c r="V30" s="149">
        <f>ROUND(V25*V26,4)</f>
        <v>1.7818000000000001</v>
      </c>
      <c r="W30" s="147"/>
      <c r="X30" s="149">
        <f>ROUND(X25*X26,4)</f>
        <v>6.6920000000000002</v>
      </c>
      <c r="Y30" s="147"/>
      <c r="Z30" s="149">
        <f>ROUND(Z25*Z26,4)</f>
        <v>1.6168</v>
      </c>
      <c r="AA30" s="147"/>
    </row>
    <row r="31" spans="1:27" s="30" customFormat="1" ht="15.75">
      <c r="A31" s="27" t="s">
        <v>65</v>
      </c>
      <c r="B31" s="118">
        <f>B27+B28+B29+B30</f>
        <v>547.41075000000001</v>
      </c>
      <c r="C31" s="119" t="s">
        <v>53</v>
      </c>
      <c r="D31" s="28">
        <f>D27+D28+D29+D30</f>
        <v>1008.86707552</v>
      </c>
      <c r="E31" s="29"/>
      <c r="F31" s="28">
        <f>F27+F28+F29+F30</f>
        <v>1033.31388184</v>
      </c>
      <c r="G31" s="29"/>
      <c r="H31" s="28">
        <f>H27+H28+H29+H30</f>
        <v>1227.7049045600002</v>
      </c>
      <c r="I31" s="29"/>
      <c r="J31" s="28">
        <f>J27+J28+J29+J30</f>
        <v>952.53571841999997</v>
      </c>
      <c r="K31" s="29"/>
      <c r="L31" s="28">
        <f>L27+L28+L29+L30</f>
        <v>1049.3120490699998</v>
      </c>
      <c r="M31" s="29"/>
      <c r="N31" s="135">
        <f>N27+N28+N29+N30</f>
        <v>1077.9869480300001</v>
      </c>
      <c r="O31" s="119"/>
      <c r="P31" s="135">
        <f>P27+P28+P29+P30</f>
        <v>956.74650170000007</v>
      </c>
      <c r="Q31" s="119"/>
      <c r="R31" s="135">
        <f>R27+R28+R29+R30</f>
        <v>1055.606014</v>
      </c>
      <c r="S31" s="119"/>
      <c r="T31" s="135">
        <f>T27+T28+T29+T30</f>
        <v>871.33254120000015</v>
      </c>
      <c r="U31" s="119"/>
      <c r="V31" s="135">
        <f>V27+V28+V29+V30</f>
        <v>986.13011363999999</v>
      </c>
      <c r="W31" s="119"/>
      <c r="X31" s="135">
        <f>X27+X28+X29+X30</f>
        <v>1055.8384501400001</v>
      </c>
      <c r="Y31" s="119"/>
      <c r="Z31" s="135">
        <f>Z27+Z28+Z29+Z30</f>
        <v>1009.7355114999999</v>
      </c>
      <c r="AA31" s="119"/>
    </row>
    <row r="32" spans="1:27" ht="15.75">
      <c r="A32" s="24" t="str">
        <f t="shared" ref="A32:F32" si="13">A2</f>
        <v>общая площадь дома</v>
      </c>
      <c r="B32" s="115">
        <f t="shared" si="13"/>
        <v>626.70000000000005</v>
      </c>
      <c r="C32" s="113" t="str">
        <f t="shared" si="13"/>
        <v>м2</v>
      </c>
      <c r="D32" s="31">
        <f t="shared" si="13"/>
        <v>626.70000000000005</v>
      </c>
      <c r="E32" s="25"/>
      <c r="F32" s="31">
        <f t="shared" si="13"/>
        <v>626.70000000000005</v>
      </c>
      <c r="G32" s="25"/>
      <c r="H32" s="31">
        <f>H2</f>
        <v>626.70000000000005</v>
      </c>
      <c r="I32" s="25"/>
      <c r="J32" s="31">
        <f>J2</f>
        <v>626.70000000000005</v>
      </c>
      <c r="K32" s="25"/>
      <c r="L32" s="31">
        <f>L2</f>
        <v>626.70000000000005</v>
      </c>
      <c r="M32" s="25"/>
      <c r="N32" s="149">
        <f>N2</f>
        <v>626.70000000000005</v>
      </c>
      <c r="O32" s="147"/>
      <c r="P32" s="149">
        <f>P2</f>
        <v>626.70000000000005</v>
      </c>
      <c r="Q32" s="147"/>
      <c r="R32" s="149">
        <f>R2</f>
        <v>626.70000000000005</v>
      </c>
      <c r="S32" s="147"/>
      <c r="T32" s="149">
        <f>T2</f>
        <v>626.70000000000005</v>
      </c>
      <c r="U32" s="147"/>
      <c r="V32" s="149">
        <f>V2</f>
        <v>626.70000000000005</v>
      </c>
      <c r="W32" s="147"/>
      <c r="X32" s="149">
        <f>X2</f>
        <v>626.70000000000005</v>
      </c>
      <c r="Y32" s="147"/>
      <c r="Z32" s="149">
        <f>Z2</f>
        <v>626.70000000000005</v>
      </c>
      <c r="AA32" s="147"/>
    </row>
    <row r="33" spans="1:27" ht="15.75">
      <c r="A33" s="32" t="s">
        <v>66</v>
      </c>
      <c r="B33" s="116">
        <f>ROUND(B31/B32,4)</f>
        <v>0.87350000000000005</v>
      </c>
      <c r="C33" s="117" t="s">
        <v>53</v>
      </c>
      <c r="D33" s="33">
        <f>ROUND(D31/D32,4)</f>
        <v>1.6097999999999999</v>
      </c>
      <c r="E33" s="34"/>
      <c r="F33" s="33">
        <f>ROUND(F31/F32,4)</f>
        <v>1.6488</v>
      </c>
      <c r="G33" s="34"/>
      <c r="H33" s="33">
        <f>ROUND(H31/H32,4)</f>
        <v>1.9590000000000001</v>
      </c>
      <c r="I33" s="34"/>
      <c r="J33" s="33">
        <f>ROUND(J31/J32,4)</f>
        <v>1.5199</v>
      </c>
      <c r="K33" s="34"/>
      <c r="L33" s="33">
        <f>ROUND(L31/L32,4)</f>
        <v>1.6742999999999999</v>
      </c>
      <c r="M33" s="34"/>
      <c r="N33" s="151">
        <f>ROUND(N31/N32,4)</f>
        <v>1.7201</v>
      </c>
      <c r="O33" s="152"/>
      <c r="P33" s="151">
        <f>ROUND(P31/P32,4)</f>
        <v>1.5266</v>
      </c>
      <c r="Q33" s="152" t="s">
        <v>53</v>
      </c>
      <c r="R33" s="151">
        <f>ROUND(R31/R32,4)</f>
        <v>1.6843999999999999</v>
      </c>
      <c r="S33" s="152"/>
      <c r="T33" s="151">
        <f>ROUND(T31/T32,4)</f>
        <v>1.3904000000000001</v>
      </c>
      <c r="U33" s="152" t="s">
        <v>53</v>
      </c>
      <c r="V33" s="151">
        <f>ROUND(V31/V32,4)</f>
        <v>1.5734999999999999</v>
      </c>
      <c r="W33" s="152"/>
      <c r="X33" s="151">
        <f>ROUND(X31/X32,4)</f>
        <v>1.6848000000000001</v>
      </c>
      <c r="Y33" s="152" t="s">
        <v>53</v>
      </c>
      <c r="Z33" s="151">
        <f>ROUND(Z31/Z32,4)</f>
        <v>1.6112</v>
      </c>
      <c r="AA33" s="152" t="s">
        <v>53</v>
      </c>
    </row>
    <row r="34" spans="1:27" s="35" customFormat="1" ht="15.75">
      <c r="A34" s="21" t="s">
        <v>67</v>
      </c>
      <c r="B34" s="111">
        <f>ROUND(B56*1.2,4)</f>
        <v>1.7539</v>
      </c>
      <c r="C34" s="112" t="s">
        <v>53</v>
      </c>
      <c r="D34" s="22">
        <f>ROUND(D56*1.2,4)</f>
        <v>2.9771000000000001</v>
      </c>
      <c r="E34" s="23" t="s">
        <v>53</v>
      </c>
      <c r="F34" s="22">
        <f>ROUND(F56*1.2,4)</f>
        <v>2.7559999999999998</v>
      </c>
      <c r="G34" s="23" t="s">
        <v>53</v>
      </c>
      <c r="H34" s="22">
        <f>ROUND(H56*1.2,4)</f>
        <v>3.3416000000000001</v>
      </c>
      <c r="I34" s="23" t="s">
        <v>53</v>
      </c>
      <c r="J34" s="22">
        <f>ROUND(J56*1.2,4)</f>
        <v>2.3809</v>
      </c>
      <c r="K34" s="23" t="s">
        <v>53</v>
      </c>
      <c r="L34" s="22">
        <f>ROUND(L56*1.2,4)</f>
        <v>2.6737000000000002</v>
      </c>
      <c r="M34" s="23" t="s">
        <v>53</v>
      </c>
      <c r="N34" s="144">
        <f>ROUND(N56*1.2,4)</f>
        <v>2.9910999999999999</v>
      </c>
      <c r="O34" s="145" t="s">
        <v>53</v>
      </c>
      <c r="P34" s="144">
        <f>ROUND(P56*1.2,4)</f>
        <v>2.5506000000000002</v>
      </c>
      <c r="Q34" s="145" t="s">
        <v>53</v>
      </c>
      <c r="R34" s="144">
        <f>ROUND(R56*1.2,4)</f>
        <v>3.1211000000000002</v>
      </c>
      <c r="S34" s="145" t="s">
        <v>53</v>
      </c>
      <c r="T34" s="144">
        <f>ROUND(T56*1.2,4)</f>
        <v>2.8022</v>
      </c>
      <c r="U34" s="145" t="s">
        <v>53</v>
      </c>
      <c r="V34" s="144">
        <f>ROUND(V56*1.2,4)</f>
        <v>3.3077000000000001</v>
      </c>
      <c r="W34" s="145" t="s">
        <v>53</v>
      </c>
      <c r="X34" s="144">
        <f>ROUND(X56*1.2,4)</f>
        <v>2.7004000000000001</v>
      </c>
      <c r="Y34" s="145" t="s">
        <v>53</v>
      </c>
      <c r="Z34" s="144">
        <f>ROUND(Z56*1.2,4)</f>
        <v>2.7774999999999999</v>
      </c>
      <c r="AA34" s="145" t="s">
        <v>53</v>
      </c>
    </row>
    <row r="35" spans="1:27" ht="15.75">
      <c r="A35" s="24" t="str">
        <f>A6</f>
        <v>количество квартир</v>
      </c>
      <c r="B35" s="108">
        <f>B6</f>
        <v>16</v>
      </c>
      <c r="C35" s="113"/>
      <c r="D35" s="18">
        <f>D6</f>
        <v>16</v>
      </c>
      <c r="E35" s="25"/>
      <c r="F35" s="18">
        <f>F6</f>
        <v>16</v>
      </c>
      <c r="G35" s="25"/>
      <c r="H35" s="18">
        <f>H6</f>
        <v>16</v>
      </c>
      <c r="I35" s="25"/>
      <c r="J35" s="18">
        <f>J6</f>
        <v>16</v>
      </c>
      <c r="K35" s="25"/>
      <c r="L35" s="18">
        <f>L6</f>
        <v>16</v>
      </c>
      <c r="M35" s="25"/>
      <c r="N35" s="140">
        <f>N6</f>
        <v>16</v>
      </c>
      <c r="O35" s="147"/>
      <c r="P35" s="140">
        <f>P6</f>
        <v>16</v>
      </c>
      <c r="Q35" s="147"/>
      <c r="R35" s="140">
        <f>R6</f>
        <v>16</v>
      </c>
      <c r="S35" s="147"/>
      <c r="T35" s="140">
        <f>T6</f>
        <v>16</v>
      </c>
      <c r="U35" s="147"/>
      <c r="V35" s="140">
        <f>V6</f>
        <v>16</v>
      </c>
      <c r="W35" s="147"/>
      <c r="X35" s="140">
        <f>X6</f>
        <v>16</v>
      </c>
      <c r="Y35" s="147"/>
      <c r="Z35" s="140">
        <f>Z6</f>
        <v>16</v>
      </c>
      <c r="AA35" s="147"/>
    </row>
    <row r="36" spans="1:27" ht="15.75">
      <c r="A36" s="24" t="str">
        <f t="shared" ref="A36:F36" si="14">A2</f>
        <v>общая площадь дома</v>
      </c>
      <c r="B36" s="106">
        <f>B2</f>
        <v>626.70000000000005</v>
      </c>
      <c r="C36" s="113" t="s">
        <v>32</v>
      </c>
      <c r="D36" s="16">
        <f t="shared" si="14"/>
        <v>626.70000000000005</v>
      </c>
      <c r="E36" s="25"/>
      <c r="F36" s="16">
        <f t="shared" si="14"/>
        <v>626.70000000000005</v>
      </c>
      <c r="G36" s="25"/>
      <c r="H36" s="16">
        <f>H2</f>
        <v>626.70000000000005</v>
      </c>
      <c r="I36" s="25"/>
      <c r="J36" s="16">
        <f>J2</f>
        <v>626.70000000000005</v>
      </c>
      <c r="K36" s="25"/>
      <c r="L36" s="16">
        <f>L2</f>
        <v>626.70000000000005</v>
      </c>
      <c r="M36" s="25"/>
      <c r="N36" s="138">
        <f>N2</f>
        <v>626.70000000000005</v>
      </c>
      <c r="O36" s="147"/>
      <c r="P36" s="138">
        <f>P2</f>
        <v>626.70000000000005</v>
      </c>
      <c r="Q36" s="147"/>
      <c r="R36" s="138">
        <f>R2</f>
        <v>626.70000000000005</v>
      </c>
      <c r="S36" s="147"/>
      <c r="T36" s="138">
        <f>T2</f>
        <v>626.70000000000005</v>
      </c>
      <c r="U36" s="147"/>
      <c r="V36" s="138">
        <f>V2</f>
        <v>626.70000000000005</v>
      </c>
      <c r="W36" s="147"/>
      <c r="X36" s="138">
        <f>X2</f>
        <v>626.70000000000005</v>
      </c>
      <c r="Y36" s="147"/>
      <c r="Z36" s="138">
        <f>Z2</f>
        <v>626.70000000000005</v>
      </c>
      <c r="AA36" s="147"/>
    </row>
    <row r="37" spans="1:27" ht="15.75">
      <c r="A37" s="24" t="s">
        <v>68</v>
      </c>
      <c r="B37" s="108">
        <v>329</v>
      </c>
      <c r="C37" s="113" t="s">
        <v>69</v>
      </c>
      <c r="D37" s="18">
        <f>[2]зарплата!$D$8</f>
        <v>435.84210526315792</v>
      </c>
      <c r="E37" s="18"/>
      <c r="F37" s="18">
        <f>[2]зарплата!$E$8</f>
        <v>460.05555555555554</v>
      </c>
      <c r="G37" s="18"/>
      <c r="H37" s="18">
        <f>[2]зарплата!$F$8</f>
        <v>487.11764705882354</v>
      </c>
      <c r="I37" s="18"/>
      <c r="J37" s="18">
        <f>[2]зарплата!$G$8</f>
        <v>487.11764705882354</v>
      </c>
      <c r="K37" s="18"/>
      <c r="L37" s="18">
        <f>[2]зарплата!$H$8</f>
        <v>460.05555555555554</v>
      </c>
      <c r="M37" s="18"/>
      <c r="N37" s="140">
        <f>[2]зарплата!$I$8</f>
        <v>460.05555555555554</v>
      </c>
      <c r="O37" s="140"/>
      <c r="P37" s="140">
        <f>[2]зарплата!$J$8</f>
        <v>460.05555555555554</v>
      </c>
      <c r="Q37" s="140"/>
      <c r="R37" s="140">
        <f>[2]зарплата!$K$8</f>
        <v>435.84210526315792</v>
      </c>
      <c r="S37" s="140"/>
      <c r="T37" s="140">
        <f>[2]зарплата!$L$8</f>
        <v>460.05555555555554</v>
      </c>
      <c r="U37" s="140"/>
      <c r="V37" s="140">
        <f>[2]зарплата!$M$8</f>
        <v>460.05555555555554</v>
      </c>
      <c r="W37" s="140"/>
      <c r="X37" s="140">
        <f>[2]зарплата!$N$8</f>
        <v>460.05555555555554</v>
      </c>
      <c r="Y37" s="140"/>
      <c r="Z37" s="140">
        <f>[2]зарплата!$O$8</f>
        <v>487.11764705882354</v>
      </c>
      <c r="AA37" s="140"/>
    </row>
    <row r="38" spans="1:27" ht="15.75">
      <c r="A38" s="24" t="s">
        <v>70</v>
      </c>
      <c r="B38" s="108">
        <v>124000</v>
      </c>
      <c r="C38" s="113" t="s">
        <v>32</v>
      </c>
      <c r="D38" s="18">
        <f>[2]зарплата!$D$9</f>
        <v>140459.86666666667</v>
      </c>
      <c r="E38" s="18"/>
      <c r="F38" s="18">
        <f>[2]зарплата!$E$9</f>
        <v>140459.86666666667</v>
      </c>
      <c r="G38" s="18"/>
      <c r="H38" s="18">
        <f>[2]зарплата!$F$9</f>
        <v>140459.86666666667</v>
      </c>
      <c r="I38" s="18"/>
      <c r="J38" s="18">
        <f>[2]зарплата!$G$9</f>
        <v>140459.86666666667</v>
      </c>
      <c r="K38" s="18"/>
      <c r="L38" s="18">
        <f>[2]зарплата!$H$9</f>
        <v>140459.86666666667</v>
      </c>
      <c r="M38" s="18"/>
      <c r="N38" s="140">
        <f>[2]зарплата!$I$9</f>
        <v>210689.8</v>
      </c>
      <c r="O38" s="140"/>
      <c r="P38" s="140">
        <f>[2]зарплата!$J$9</f>
        <v>210689.8</v>
      </c>
      <c r="Q38" s="140"/>
      <c r="R38" s="140">
        <f>[2]зарплата!$K$9</f>
        <v>210689.8</v>
      </c>
      <c r="S38" s="140"/>
      <c r="T38" s="140">
        <f>[2]зарплата!$L$9</f>
        <v>210689.8</v>
      </c>
      <c r="U38" s="140"/>
      <c r="V38" s="140">
        <f>[2]зарплата!$M$9</f>
        <v>140459.86666666667</v>
      </c>
      <c r="W38" s="140"/>
      <c r="X38" s="140">
        <f>[2]зарплата!$N$9</f>
        <v>140459.86666666667</v>
      </c>
      <c r="Y38" s="140"/>
      <c r="Z38" s="140">
        <f>[2]зарплата!$O$9</f>
        <v>140459.86666666667</v>
      </c>
      <c r="AA38" s="140"/>
    </row>
    <row r="39" spans="1:27" ht="15.75">
      <c r="A39" s="24" t="s">
        <v>71</v>
      </c>
      <c r="B39" s="106">
        <v>6092.62</v>
      </c>
      <c r="C39" s="113" t="s">
        <v>53</v>
      </c>
      <c r="D39" s="16">
        <f>[2]зарплата!$D$10</f>
        <v>11882.04</v>
      </c>
      <c r="E39" s="25"/>
      <c r="F39" s="16">
        <f>[2]зарплата!$E$10</f>
        <v>10880.52</v>
      </c>
      <c r="G39" s="25"/>
      <c r="H39" s="16">
        <f>[2]зарплата!$F$10</f>
        <v>13364.44</v>
      </c>
      <c r="I39" s="25"/>
      <c r="J39" s="16">
        <f>[2]зарплата!$G$10</f>
        <v>10045.120000000001</v>
      </c>
      <c r="K39" s="25"/>
      <c r="L39" s="16">
        <f>[2]зарплата!$H$10</f>
        <v>10783.33</v>
      </c>
      <c r="M39" s="25"/>
      <c r="N39" s="138">
        <f>[2]зарплата!$I$10</f>
        <v>11273.03</v>
      </c>
      <c r="O39" s="147"/>
      <c r="P39" s="138">
        <f>[2]зарплата!$J$10</f>
        <v>10877.86</v>
      </c>
      <c r="Q39" s="147"/>
      <c r="R39" s="138">
        <f>[2]зарплата!$K$10</f>
        <v>11767.61</v>
      </c>
      <c r="S39" s="147"/>
      <c r="T39" s="138">
        <f>[2]зарплата!$L$10</f>
        <v>12345.52</v>
      </c>
      <c r="U39" s="147"/>
      <c r="V39" s="138">
        <f>[2]зарплата!$M$10</f>
        <v>12575</v>
      </c>
      <c r="W39" s="147"/>
      <c r="X39" s="138">
        <f>[2]зарплата!$N$10</f>
        <v>11860.04</v>
      </c>
      <c r="Y39" s="147"/>
      <c r="Z39" s="138">
        <f>[2]зарплата!$O$10</f>
        <v>12385.56</v>
      </c>
      <c r="AA39" s="147"/>
    </row>
    <row r="40" spans="1:27" ht="15.75">
      <c r="A40" s="24" t="s">
        <v>72</v>
      </c>
      <c r="B40" s="106">
        <v>8032.12</v>
      </c>
      <c r="C40" s="113" t="s">
        <v>53</v>
      </c>
      <c r="D40" s="16">
        <f>[2]зарплата!$D$11</f>
        <v>17323.189999999999</v>
      </c>
      <c r="E40" s="25"/>
      <c r="F40" s="16">
        <f>[2]зарплата!$E$11</f>
        <v>15449.97</v>
      </c>
      <c r="G40" s="25"/>
      <c r="H40" s="16">
        <f>[2]зарплата!$F$11</f>
        <v>17842.5</v>
      </c>
      <c r="I40" s="25"/>
      <c r="J40" s="16">
        <f>[2]зарплата!$G$11</f>
        <v>13869.63</v>
      </c>
      <c r="K40" s="25"/>
      <c r="L40" s="16">
        <f>[2]зарплата!$H$11</f>
        <v>16203.09</v>
      </c>
      <c r="M40" s="25"/>
      <c r="N40" s="138">
        <f>[2]зарплата!$I$11</f>
        <v>17857.57</v>
      </c>
      <c r="O40" s="147"/>
      <c r="P40" s="138">
        <f>[2]зарплата!$J$11</f>
        <v>17857.57</v>
      </c>
      <c r="Q40" s="147"/>
      <c r="R40" s="138">
        <f>[2]зарплата!$K$11</f>
        <v>19651.150000000001</v>
      </c>
      <c r="S40" s="147"/>
      <c r="T40" s="138">
        <f>[2]зарплата!$L$11</f>
        <v>17790.009999999998</v>
      </c>
      <c r="U40" s="147"/>
      <c r="V40" s="138">
        <f>[2]зарплата!$M$11</f>
        <v>17998.939999999999</v>
      </c>
      <c r="W40" s="147"/>
      <c r="X40" s="138">
        <f>[2]зарплата!$N$11</f>
        <v>17336.97</v>
      </c>
      <c r="Y40" s="147"/>
      <c r="Z40" s="138">
        <f>[2]зарплата!$O$11</f>
        <v>17181.2</v>
      </c>
      <c r="AA40" s="147"/>
    </row>
    <row r="41" spans="1:27" ht="15.75">
      <c r="A41" s="24" t="s">
        <v>56</v>
      </c>
      <c r="B41" s="114">
        <v>0.22</v>
      </c>
      <c r="C41" s="113"/>
      <c r="D41" s="26">
        <v>0.22</v>
      </c>
      <c r="E41" s="25"/>
      <c r="F41" s="26">
        <v>0.22</v>
      </c>
      <c r="G41" s="25"/>
      <c r="H41" s="26">
        <v>0.22</v>
      </c>
      <c r="I41" s="25"/>
      <c r="J41" s="26">
        <v>0.22</v>
      </c>
      <c r="K41" s="25"/>
      <c r="L41" s="26">
        <v>0.22</v>
      </c>
      <c r="M41" s="25"/>
      <c r="N41" s="148">
        <v>0.22</v>
      </c>
      <c r="O41" s="147"/>
      <c r="P41" s="148">
        <v>0.22</v>
      </c>
      <c r="Q41" s="147"/>
      <c r="R41" s="148">
        <v>0.22</v>
      </c>
      <c r="S41" s="147"/>
      <c r="T41" s="148">
        <v>0.22</v>
      </c>
      <c r="U41" s="147"/>
      <c r="V41" s="148">
        <v>0.22</v>
      </c>
      <c r="W41" s="147"/>
      <c r="X41" s="148">
        <v>0.22</v>
      </c>
      <c r="Y41" s="147"/>
      <c r="Z41" s="148">
        <v>0.22</v>
      </c>
      <c r="AA41" s="147"/>
    </row>
    <row r="42" spans="1:27" ht="15.75">
      <c r="A42" s="24" t="s">
        <v>57</v>
      </c>
      <c r="B42" s="114">
        <v>0.5</v>
      </c>
      <c r="C42" s="113"/>
      <c r="D42" s="70">
        <f>D24</f>
        <v>1.7736000000000001</v>
      </c>
      <c r="E42" s="25"/>
      <c r="F42" s="70">
        <f>F24</f>
        <v>1.9014</v>
      </c>
      <c r="G42" s="25"/>
      <c r="H42" s="70">
        <f>H24</f>
        <v>2.1299000000000001</v>
      </c>
      <c r="I42" s="25"/>
      <c r="J42" s="70">
        <f>J24</f>
        <v>1.9529000000000001</v>
      </c>
      <c r="K42" s="25"/>
      <c r="L42" s="70">
        <f>L24</f>
        <v>1.8880999999999999</v>
      </c>
      <c r="M42" s="25"/>
      <c r="N42" s="148">
        <f>N24</f>
        <v>2.2700999999999998</v>
      </c>
      <c r="O42" s="147"/>
      <c r="P42" s="148">
        <f>P24</f>
        <v>1.8502000000000001</v>
      </c>
      <c r="Q42" s="147"/>
      <c r="R42" s="148">
        <f>R24</f>
        <v>2.09</v>
      </c>
      <c r="S42" s="147"/>
      <c r="T42" s="148">
        <f>T24</f>
        <v>1.8043</v>
      </c>
      <c r="U42" s="147"/>
      <c r="V42" s="148">
        <f>V24</f>
        <v>2.0918999999999999</v>
      </c>
      <c r="W42" s="147"/>
      <c r="X42" s="148">
        <f>X24</f>
        <v>1.6333</v>
      </c>
      <c r="Y42" s="147"/>
      <c r="Z42" s="148">
        <f>Z24</f>
        <v>1.7729999999999999</v>
      </c>
      <c r="AA42" s="147"/>
    </row>
    <row r="43" spans="1:27" s="30" customFormat="1" ht="15.75">
      <c r="A43" s="27" t="s">
        <v>73</v>
      </c>
      <c r="B43" s="118">
        <v>233.17</v>
      </c>
      <c r="C43" s="119" t="s">
        <v>53</v>
      </c>
      <c r="D43" s="28">
        <f>'[2]Сиз и ТМЦ'!$C$2</f>
        <v>246.29263157894735</v>
      </c>
      <c r="E43" s="29"/>
      <c r="F43" s="28">
        <f>'[2]Сиз и ТМЦ'!$C$3</f>
        <v>990.36</v>
      </c>
      <c r="G43" s="29"/>
      <c r="H43" s="28">
        <f>'[2]Сиз и ТМЦ'!$C$4</f>
        <v>118.45882352941176</v>
      </c>
      <c r="I43" s="29"/>
      <c r="J43" s="28">
        <f>'[2]Сиз и ТМЦ'!$C$5</f>
        <v>0</v>
      </c>
      <c r="K43" s="29"/>
      <c r="L43" s="28">
        <f>'[2]Сиз и ТМЦ'!$C$6</f>
        <v>18.365555555555556</v>
      </c>
      <c r="M43" s="29"/>
      <c r="N43" s="135">
        <f>'[2]Сиз и ТМЦ'!$C$7</f>
        <v>16.777777777777779</v>
      </c>
      <c r="O43" s="119"/>
      <c r="P43" s="135">
        <f>'[2]Сиз и ТМЦ'!$C$8</f>
        <v>0</v>
      </c>
      <c r="Q43" s="119"/>
      <c r="R43" s="135">
        <f>'[2]Сиз и ТМЦ'!$C$9</f>
        <v>0</v>
      </c>
      <c r="S43" s="119"/>
      <c r="T43" s="135">
        <f>'[2]Сиз и ТМЦ'!$C$10</f>
        <v>2.7777777777777777</v>
      </c>
      <c r="U43" s="119"/>
      <c r="V43" s="135">
        <f>'[2]Сиз и ТМЦ'!$C$11</f>
        <v>48.387111111111111</v>
      </c>
      <c r="W43" s="119"/>
      <c r="X43" s="135">
        <f>'[2]Сиз и ТМЦ'!$C$12</f>
        <v>0</v>
      </c>
      <c r="Y43" s="119"/>
      <c r="Z43" s="135">
        <f>'[2]Сиз и ТМЦ'!$C$13</f>
        <v>15.882352941176471</v>
      </c>
      <c r="AA43" s="119"/>
    </row>
    <row r="44" spans="1:27" s="30" customFormat="1" ht="15.75">
      <c r="A44" s="27" t="s">
        <v>74</v>
      </c>
      <c r="B44" s="118">
        <v>406.5</v>
      </c>
      <c r="C44" s="119" t="s">
        <v>53</v>
      </c>
      <c r="D44" s="28">
        <f>'[2]Сиз и ТМЦ'!$D$2</f>
        <v>1541.8</v>
      </c>
      <c r="E44" s="29"/>
      <c r="F44" s="28">
        <f>'[2]Сиз и ТМЦ'!$D$3</f>
        <v>1320.06</v>
      </c>
      <c r="G44" s="29"/>
      <c r="H44" s="28">
        <f>'[2]Сиз и ТМЦ'!$D$4</f>
        <v>859.30000000000007</v>
      </c>
      <c r="I44" s="29"/>
      <c r="J44" s="28">
        <f>'[2]Сиз и ТМЦ'!$D$5</f>
        <v>0</v>
      </c>
      <c r="K44" s="29"/>
      <c r="L44" s="28">
        <f>'[2]Сиз и ТМЦ'!$D$6</f>
        <v>604.4133333333333</v>
      </c>
      <c r="M44" s="29"/>
      <c r="N44" s="135">
        <f>'[2]Сиз и ТМЦ'!$D$7</f>
        <v>1789.58</v>
      </c>
      <c r="O44" s="119"/>
      <c r="P44" s="135">
        <f>'[2]Сиз и ТМЦ'!$D$8</f>
        <v>1777.68</v>
      </c>
      <c r="Q44" s="119"/>
      <c r="R44" s="135">
        <f>'[2]Сиз и ТМЦ'!$D$9</f>
        <v>1777.5</v>
      </c>
      <c r="S44" s="119"/>
      <c r="T44" s="135">
        <f>'[2]Сиз и ТМЦ'!$D$10</f>
        <v>888.84</v>
      </c>
      <c r="U44" s="119"/>
      <c r="V44" s="135">
        <f>'[2]Сиз и ТМЦ'!$D$11</f>
        <v>1815.8400000000001</v>
      </c>
      <c r="W44" s="119"/>
      <c r="X44" s="135">
        <f>'[2]Сиз и ТМЦ'!$D$12</f>
        <v>2229.0433333333335</v>
      </c>
      <c r="Y44" s="119"/>
      <c r="Z44" s="135">
        <f>'[2]Сиз и ТМЦ'!$D$13</f>
        <v>605.66999999999996</v>
      </c>
      <c r="AA44" s="119"/>
    </row>
    <row r="45" spans="1:27" ht="15.75">
      <c r="A45" s="24" t="s">
        <v>75</v>
      </c>
      <c r="B45" s="115">
        <f>ROUND(B35/B37,4)</f>
        <v>4.8599999999999997E-2</v>
      </c>
      <c r="C45" s="113" t="s">
        <v>60</v>
      </c>
      <c r="D45" s="31">
        <f>ROUND(D35/D37,4)</f>
        <v>3.6700000000000003E-2</v>
      </c>
      <c r="E45" s="25"/>
      <c r="F45" s="31">
        <f>ROUND(F35/F37,4)</f>
        <v>3.4799999999999998E-2</v>
      </c>
      <c r="G45" s="25"/>
      <c r="H45" s="31">
        <f>ROUND(H35/H37,4)</f>
        <v>3.2800000000000003E-2</v>
      </c>
      <c r="I45" s="25"/>
      <c r="J45" s="31">
        <f>ROUND(J35/J37,4)</f>
        <v>3.2800000000000003E-2</v>
      </c>
      <c r="K45" s="25"/>
      <c r="L45" s="31">
        <f>ROUND(L35/L37,4)</f>
        <v>3.4799999999999998E-2</v>
      </c>
      <c r="M45" s="25"/>
      <c r="N45" s="149">
        <f>ROUND(N35/N37,4)</f>
        <v>3.4799999999999998E-2</v>
      </c>
      <c r="O45" s="147"/>
      <c r="P45" s="149">
        <f>ROUND(P35/P37,4)</f>
        <v>3.4799999999999998E-2</v>
      </c>
      <c r="Q45" s="147"/>
      <c r="R45" s="149">
        <f>ROUND(R35/R37,4)</f>
        <v>3.6700000000000003E-2</v>
      </c>
      <c r="S45" s="147"/>
      <c r="T45" s="149">
        <f>ROUND(T35/T37,4)</f>
        <v>3.4799999999999998E-2</v>
      </c>
      <c r="U45" s="147"/>
      <c r="V45" s="149">
        <f>ROUND(V35/V37,4)</f>
        <v>3.4799999999999998E-2</v>
      </c>
      <c r="W45" s="147"/>
      <c r="X45" s="149">
        <f>ROUND(X35/X37,4)</f>
        <v>3.4799999999999998E-2</v>
      </c>
      <c r="Y45" s="147"/>
      <c r="Z45" s="149">
        <f>ROUND(Z35/Z37,4)</f>
        <v>3.2800000000000003E-2</v>
      </c>
      <c r="AA45" s="147"/>
    </row>
    <row r="46" spans="1:27" ht="15.75">
      <c r="A46" s="24" t="s">
        <v>76</v>
      </c>
      <c r="B46" s="115">
        <f>ROUND(B36/B38,4)</f>
        <v>5.1000000000000004E-3</v>
      </c>
      <c r="C46" s="113" t="s">
        <v>60</v>
      </c>
      <c r="D46" s="31">
        <f>ROUND(D36/D38,4)</f>
        <v>4.4999999999999997E-3</v>
      </c>
      <c r="E46" s="25"/>
      <c r="F46" s="31">
        <f>ROUND(F36/F38,4)</f>
        <v>4.4999999999999997E-3</v>
      </c>
      <c r="G46" s="25"/>
      <c r="H46" s="31">
        <f>ROUND(H36/H38,4)</f>
        <v>4.4999999999999997E-3</v>
      </c>
      <c r="I46" s="25"/>
      <c r="J46" s="31">
        <f>ROUND(J36/J38,4)</f>
        <v>4.4999999999999997E-3</v>
      </c>
      <c r="K46" s="25"/>
      <c r="L46" s="31">
        <f>ROUND(L36/L38,4)</f>
        <v>4.4999999999999997E-3</v>
      </c>
      <c r="M46" s="25"/>
      <c r="N46" s="149">
        <f>ROUND(N36/N38,4)</f>
        <v>3.0000000000000001E-3</v>
      </c>
      <c r="O46" s="147"/>
      <c r="P46" s="149">
        <f>ROUND(P36/P38,4)</f>
        <v>3.0000000000000001E-3</v>
      </c>
      <c r="Q46" s="147"/>
      <c r="R46" s="149">
        <f>ROUND(R36/R38,4)</f>
        <v>3.0000000000000001E-3</v>
      </c>
      <c r="S46" s="147"/>
      <c r="T46" s="149">
        <f>ROUND(T36/T38,4)</f>
        <v>3.0000000000000001E-3</v>
      </c>
      <c r="U46" s="147"/>
      <c r="V46" s="149">
        <f>ROUND(V36/V38,4)</f>
        <v>4.4999999999999997E-3</v>
      </c>
      <c r="W46" s="147"/>
      <c r="X46" s="149">
        <f>ROUND(X36/X38,4)</f>
        <v>4.4999999999999997E-3</v>
      </c>
      <c r="Y46" s="147"/>
      <c r="Z46" s="149">
        <f>ROUND(Z36/Z38,4)</f>
        <v>4.4999999999999997E-3</v>
      </c>
      <c r="AA46" s="147"/>
    </row>
    <row r="47" spans="1:27" ht="15.75">
      <c r="A47" s="24" t="s">
        <v>77</v>
      </c>
      <c r="B47" s="115">
        <f>ROUND(B45*B39,4)</f>
        <v>296.10129999999998</v>
      </c>
      <c r="C47" s="113" t="s">
        <v>53</v>
      </c>
      <c r="D47" s="31">
        <f>ROUND(D45*D39,4)</f>
        <v>436.07089999999999</v>
      </c>
      <c r="E47" s="25"/>
      <c r="F47" s="31">
        <f>ROUND(F45*F39,4)</f>
        <v>378.64210000000003</v>
      </c>
      <c r="G47" s="25"/>
      <c r="H47" s="31">
        <f>ROUND(H45*H39,4)</f>
        <v>438.35359999999997</v>
      </c>
      <c r="I47" s="25"/>
      <c r="J47" s="31">
        <f>ROUND(J45*J39,4)</f>
        <v>329.47989999999999</v>
      </c>
      <c r="K47" s="25"/>
      <c r="L47" s="31">
        <f>ROUND(L45*L39,4)</f>
        <v>375.25990000000002</v>
      </c>
      <c r="M47" s="25"/>
      <c r="N47" s="149">
        <f>ROUND(N45*N39,4)</f>
        <v>392.3014</v>
      </c>
      <c r="O47" s="147"/>
      <c r="P47" s="149">
        <f>ROUND(P45*P39,4)</f>
        <v>378.54950000000002</v>
      </c>
      <c r="Q47" s="147"/>
      <c r="R47" s="149">
        <f>ROUND(R45*R39,4)</f>
        <v>431.87130000000002</v>
      </c>
      <c r="S47" s="147"/>
      <c r="T47" s="149">
        <f>ROUND(T45*T39,4)</f>
        <v>429.6241</v>
      </c>
      <c r="U47" s="147"/>
      <c r="V47" s="149">
        <f>ROUND(V45*V39,4)</f>
        <v>437.61</v>
      </c>
      <c r="W47" s="147"/>
      <c r="X47" s="149">
        <f>ROUND(X45*X39,4)</f>
        <v>412.7294</v>
      </c>
      <c r="Y47" s="147"/>
      <c r="Z47" s="149">
        <f>ROUND(Z45*Z39,4)</f>
        <v>406.24639999999999</v>
      </c>
      <c r="AA47" s="147"/>
    </row>
    <row r="48" spans="1:27" ht="15.75">
      <c r="A48" s="24" t="s">
        <v>78</v>
      </c>
      <c r="B48" s="115">
        <f>ROUND(B40*B46,4)</f>
        <v>40.963799999999999</v>
      </c>
      <c r="C48" s="113" t="s">
        <v>53</v>
      </c>
      <c r="D48" s="31">
        <f>ROUND(D40*D46,4)</f>
        <v>77.954400000000007</v>
      </c>
      <c r="E48" s="25"/>
      <c r="F48" s="31">
        <f>ROUND(F40*F46,4)</f>
        <v>69.524900000000002</v>
      </c>
      <c r="G48" s="25"/>
      <c r="H48" s="31">
        <f>ROUND(H40*H46,4)</f>
        <v>80.291300000000007</v>
      </c>
      <c r="I48" s="25"/>
      <c r="J48" s="31">
        <f>ROUND(J40*J46,4)</f>
        <v>62.4133</v>
      </c>
      <c r="K48" s="25"/>
      <c r="L48" s="31">
        <f>ROUND(L40*L46,4)</f>
        <v>72.913899999999998</v>
      </c>
      <c r="M48" s="25"/>
      <c r="N48" s="149">
        <f>ROUND(N40*N46,4)</f>
        <v>53.572699999999998</v>
      </c>
      <c r="O48" s="147"/>
      <c r="P48" s="149">
        <f>ROUND(P40*P46,4)</f>
        <v>53.572699999999998</v>
      </c>
      <c r="Q48" s="147"/>
      <c r="R48" s="149">
        <f>ROUND(R40*R46,4)</f>
        <v>58.953499999999998</v>
      </c>
      <c r="S48" s="147"/>
      <c r="T48" s="149">
        <f>ROUND(T40*T46,4)</f>
        <v>53.37</v>
      </c>
      <c r="U48" s="147"/>
      <c r="V48" s="149">
        <f>ROUND(V40*V46,4)</f>
        <v>80.995199999999997</v>
      </c>
      <c r="W48" s="147"/>
      <c r="X48" s="149">
        <f>ROUND(X40*X46,4)</f>
        <v>78.016400000000004</v>
      </c>
      <c r="Y48" s="147"/>
      <c r="Z48" s="149">
        <f>ROUND(Z40*Z46,4)</f>
        <v>77.315399999999997</v>
      </c>
      <c r="AA48" s="147"/>
    </row>
    <row r="49" spans="1:27" ht="15.75">
      <c r="A49" s="24" t="s">
        <v>79</v>
      </c>
      <c r="B49" s="115">
        <f>B47+B48</f>
        <v>337.06509999999997</v>
      </c>
      <c r="C49" s="113" t="s">
        <v>53</v>
      </c>
      <c r="D49" s="31">
        <f>D47+D48</f>
        <v>514.02530000000002</v>
      </c>
      <c r="E49" s="25"/>
      <c r="F49" s="31">
        <f>F47+F48</f>
        <v>448.16700000000003</v>
      </c>
      <c r="G49" s="25"/>
      <c r="H49" s="31">
        <f>H47+H48</f>
        <v>518.64490000000001</v>
      </c>
      <c r="I49" s="25"/>
      <c r="J49" s="31">
        <f>J47+J48</f>
        <v>391.89319999999998</v>
      </c>
      <c r="K49" s="25"/>
      <c r="L49" s="31">
        <f>L47+L48</f>
        <v>448.17380000000003</v>
      </c>
      <c r="M49" s="25"/>
      <c r="N49" s="149">
        <f>N47+N48</f>
        <v>445.8741</v>
      </c>
      <c r="O49" s="147"/>
      <c r="P49" s="149">
        <f>P47+P48</f>
        <v>432.12220000000002</v>
      </c>
      <c r="Q49" s="147"/>
      <c r="R49" s="149">
        <f>R47+R48</f>
        <v>490.82480000000004</v>
      </c>
      <c r="S49" s="147"/>
      <c r="T49" s="149">
        <f>T47+T48</f>
        <v>482.9941</v>
      </c>
      <c r="U49" s="147"/>
      <c r="V49" s="149">
        <f>V47+V48</f>
        <v>518.60519999999997</v>
      </c>
      <c r="W49" s="147"/>
      <c r="X49" s="149">
        <f>X47+X48</f>
        <v>490.74580000000003</v>
      </c>
      <c r="Y49" s="147"/>
      <c r="Z49" s="149">
        <f>Z47+Z48</f>
        <v>483.56180000000001</v>
      </c>
      <c r="AA49" s="147"/>
    </row>
    <row r="50" spans="1:27" ht="15.75">
      <c r="A50" s="24" t="s">
        <v>62</v>
      </c>
      <c r="B50" s="115">
        <f>ROUND(B49*B41,4)</f>
        <v>74.154300000000006</v>
      </c>
      <c r="C50" s="113" t="s">
        <v>53</v>
      </c>
      <c r="D50" s="31">
        <f>ROUND(D49*D41,4)</f>
        <v>113.0856</v>
      </c>
      <c r="E50" s="25"/>
      <c r="F50" s="31">
        <f>ROUND(F49*F41,4)</f>
        <v>98.596699999999998</v>
      </c>
      <c r="G50" s="25"/>
      <c r="H50" s="31">
        <f>ROUND(H49*H41,4)</f>
        <v>114.1019</v>
      </c>
      <c r="I50" s="25"/>
      <c r="J50" s="31">
        <f>ROUND(J49*J41,4)</f>
        <v>86.216499999999996</v>
      </c>
      <c r="K50" s="25"/>
      <c r="L50" s="31">
        <f>ROUND(L49*L41,4)</f>
        <v>98.598200000000006</v>
      </c>
      <c r="M50" s="25"/>
      <c r="N50" s="149">
        <f>ROUND(N49*N41,4)</f>
        <v>98.092299999999994</v>
      </c>
      <c r="O50" s="147"/>
      <c r="P50" s="149">
        <f>ROUND(P49*P41,4)</f>
        <v>95.066900000000004</v>
      </c>
      <c r="Q50" s="147"/>
      <c r="R50" s="149">
        <f>ROUND(R49*R41,4)</f>
        <v>107.9815</v>
      </c>
      <c r="S50" s="147"/>
      <c r="T50" s="149">
        <f>ROUND(T49*T41,4)</f>
        <v>106.2587</v>
      </c>
      <c r="U50" s="147"/>
      <c r="V50" s="149">
        <f>ROUND(V49*V41,4)</f>
        <v>114.09310000000001</v>
      </c>
      <c r="W50" s="147"/>
      <c r="X50" s="149">
        <f>ROUND(X49*X41,4)</f>
        <v>107.9641</v>
      </c>
      <c r="Y50" s="147"/>
      <c r="Z50" s="149">
        <f>ROUND(Z49*Z41,4)</f>
        <v>106.3836</v>
      </c>
      <c r="AA50" s="147"/>
    </row>
    <row r="51" spans="1:27" ht="15.75">
      <c r="A51" s="24" t="s">
        <v>63</v>
      </c>
      <c r="B51" s="115">
        <f>B49*B42</f>
        <v>168.53254999999999</v>
      </c>
      <c r="C51" s="113" t="s">
        <v>53</v>
      </c>
      <c r="D51" s="31">
        <f>D49*D42</f>
        <v>911.67527208000001</v>
      </c>
      <c r="E51" s="25"/>
      <c r="F51" s="31">
        <f>F49*F42</f>
        <v>852.14473380000004</v>
      </c>
      <c r="G51" s="25"/>
      <c r="H51" s="31">
        <f>H49*H42</f>
        <v>1104.66177251</v>
      </c>
      <c r="I51" s="25"/>
      <c r="J51" s="31">
        <f>J49*J42</f>
        <v>765.32823027999996</v>
      </c>
      <c r="K51" s="25"/>
      <c r="L51" s="31">
        <f>L49*L42</f>
        <v>846.19695177999995</v>
      </c>
      <c r="M51" s="25"/>
      <c r="N51" s="149">
        <f>N49*N42</f>
        <v>1012.1787944099999</v>
      </c>
      <c r="O51" s="147"/>
      <c r="P51" s="149">
        <f>P49*P42</f>
        <v>799.51249444000007</v>
      </c>
      <c r="Q51" s="147"/>
      <c r="R51" s="149">
        <f>R49*R42</f>
        <v>1025.823832</v>
      </c>
      <c r="S51" s="147"/>
      <c r="T51" s="149">
        <f>T49*T42</f>
        <v>871.46625462999998</v>
      </c>
      <c r="U51" s="147"/>
      <c r="V51" s="149">
        <f>V49*V42</f>
        <v>1084.8702178799999</v>
      </c>
      <c r="W51" s="147"/>
      <c r="X51" s="149">
        <f>X49*X42</f>
        <v>801.53511514000002</v>
      </c>
      <c r="Y51" s="147"/>
      <c r="Z51" s="149">
        <f>Z49*Z42</f>
        <v>857.35507139999993</v>
      </c>
      <c r="AA51" s="147"/>
    </row>
    <row r="52" spans="1:27" ht="15.75">
      <c r="A52" s="24" t="s">
        <v>64</v>
      </c>
      <c r="B52" s="115">
        <f>ROUND(B45*B43+B46*B44,4)</f>
        <v>13.405200000000001</v>
      </c>
      <c r="C52" s="113" t="s">
        <v>53</v>
      </c>
      <c r="D52" s="31">
        <f>ROUND(D45*D43+D46*D44,4)</f>
        <v>15.977</v>
      </c>
      <c r="E52" s="25"/>
      <c r="F52" s="31">
        <f>ROUND(F45*F43+F46*F44,4)</f>
        <v>40.404800000000002</v>
      </c>
      <c r="G52" s="25"/>
      <c r="H52" s="31">
        <f>ROUND(H45*H43+H46*H44,4)</f>
        <v>7.7523</v>
      </c>
      <c r="I52" s="25"/>
      <c r="J52" s="31">
        <f>ROUND(J45*J43+J46*J44,4)</f>
        <v>0</v>
      </c>
      <c r="K52" s="25"/>
      <c r="L52" s="31">
        <f>ROUND(L45*L43+L46*L44,4)</f>
        <v>3.359</v>
      </c>
      <c r="M52" s="25"/>
      <c r="N52" s="149">
        <f>ROUND(N45*N43+N46*N44,4)</f>
        <v>5.9526000000000003</v>
      </c>
      <c r="O52" s="147"/>
      <c r="P52" s="149">
        <f>ROUND(P45*P43+P46*P44,4)</f>
        <v>5.3330000000000002</v>
      </c>
      <c r="Q52" s="147"/>
      <c r="R52" s="149">
        <f>ROUND(R45*R43+R46*R44,4)</f>
        <v>5.3324999999999996</v>
      </c>
      <c r="S52" s="147"/>
      <c r="T52" s="149">
        <f>ROUND(T45*T43+T46*T44,4)</f>
        <v>2.7631999999999999</v>
      </c>
      <c r="U52" s="147"/>
      <c r="V52" s="149">
        <f>ROUND(V45*V43+V46*V44,4)</f>
        <v>9.8552</v>
      </c>
      <c r="W52" s="147"/>
      <c r="X52" s="149">
        <f>ROUND(X45*X43+X46*X44,4)</f>
        <v>10.0307</v>
      </c>
      <c r="Y52" s="147"/>
      <c r="Z52" s="149">
        <f>ROUND(Z45*Z43+Z46*Z44,4)</f>
        <v>3.2465000000000002</v>
      </c>
      <c r="AA52" s="147"/>
    </row>
    <row r="53" spans="1:27" s="30" customFormat="1" ht="15.75">
      <c r="A53" s="36" t="s">
        <v>80</v>
      </c>
      <c r="B53" s="135">
        <f>план!B55</f>
        <v>322.8</v>
      </c>
      <c r="C53" s="119" t="s">
        <v>53</v>
      </c>
      <c r="D53" s="28">
        <v>0</v>
      </c>
      <c r="E53" s="29"/>
      <c r="F53" s="28"/>
      <c r="G53" s="29"/>
      <c r="H53" s="28"/>
      <c r="I53" s="29"/>
      <c r="J53" s="28"/>
      <c r="K53" s="29"/>
      <c r="L53" s="28"/>
      <c r="M53" s="29"/>
      <c r="N53" s="135"/>
      <c r="O53" s="119"/>
      <c r="P53" s="135"/>
      <c r="Q53" s="119"/>
      <c r="R53" s="135"/>
      <c r="S53" s="119"/>
      <c r="T53" s="135"/>
      <c r="U53" s="119"/>
      <c r="V53" s="135"/>
      <c r="W53" s="119"/>
      <c r="X53" s="135"/>
      <c r="Y53" s="119"/>
      <c r="Z53" s="135"/>
      <c r="AA53" s="119"/>
    </row>
    <row r="54" spans="1:27" s="30" customFormat="1" ht="15.75">
      <c r="A54" s="27" t="s">
        <v>65</v>
      </c>
      <c r="B54" s="118">
        <f>B49+B50+B51+B52+B53</f>
        <v>915.95714999999996</v>
      </c>
      <c r="C54" s="119" t="s">
        <v>53</v>
      </c>
      <c r="D54" s="28">
        <f>D49+D50+D51+D52+D53</f>
        <v>1554.7631720800002</v>
      </c>
      <c r="E54" s="29"/>
      <c r="F54" s="28">
        <f>F49+F50+F51+F52+F53</f>
        <v>1439.3132338</v>
      </c>
      <c r="G54" s="29"/>
      <c r="H54" s="28">
        <f>H49+H50+H51+H52+H53</f>
        <v>1745.16087251</v>
      </c>
      <c r="I54" s="29"/>
      <c r="J54" s="28">
        <f>J49+J50+J51+J52+J53</f>
        <v>1243.4379302799998</v>
      </c>
      <c r="K54" s="29"/>
      <c r="L54" s="28">
        <f>L49+L50+L51+L52+L53</f>
        <v>1396.3279517799999</v>
      </c>
      <c r="M54" s="29"/>
      <c r="N54" s="135">
        <f>N49+N50+N51+N52+N53</f>
        <v>1562.09779441</v>
      </c>
      <c r="O54" s="119"/>
      <c r="P54" s="135">
        <f>P49+P50+P51+P52+P53</f>
        <v>1332.0345944400001</v>
      </c>
      <c r="Q54" s="119"/>
      <c r="R54" s="135">
        <f>R49+R50+R51+R52+R53</f>
        <v>1629.9626320000002</v>
      </c>
      <c r="S54" s="119"/>
      <c r="T54" s="135">
        <f>T49+T50+T51+T52+T53</f>
        <v>1463.4822546299999</v>
      </c>
      <c r="U54" s="119"/>
      <c r="V54" s="135">
        <f>V49+V50+V51+V52+V53</f>
        <v>1727.4237178799999</v>
      </c>
      <c r="W54" s="119"/>
      <c r="X54" s="135">
        <f>X49+X50+X51+X52+X53</f>
        <v>1410.2757151400001</v>
      </c>
      <c r="Y54" s="119"/>
      <c r="Z54" s="135">
        <f>Z49+Z50+Z51+Z52+Z53</f>
        <v>1450.5469713999998</v>
      </c>
      <c r="AA54" s="119"/>
    </row>
    <row r="55" spans="1:27" ht="15.75">
      <c r="A55" s="24" t="str">
        <f t="shared" ref="A55:F55" si="15">A2</f>
        <v>общая площадь дома</v>
      </c>
      <c r="B55" s="115">
        <f>B2</f>
        <v>626.70000000000005</v>
      </c>
      <c r="C55" s="113" t="s">
        <v>32</v>
      </c>
      <c r="D55" s="31">
        <f t="shared" si="15"/>
        <v>626.70000000000005</v>
      </c>
      <c r="E55" s="25"/>
      <c r="F55" s="31">
        <f t="shared" si="15"/>
        <v>626.70000000000005</v>
      </c>
      <c r="G55" s="25"/>
      <c r="H55" s="31">
        <f>H2</f>
        <v>626.70000000000005</v>
      </c>
      <c r="I55" s="25"/>
      <c r="J55" s="31">
        <f>J2</f>
        <v>626.70000000000005</v>
      </c>
      <c r="K55" s="25"/>
      <c r="L55" s="31">
        <f>L2</f>
        <v>626.70000000000005</v>
      </c>
      <c r="M55" s="25"/>
      <c r="N55" s="149">
        <f>N2</f>
        <v>626.70000000000005</v>
      </c>
      <c r="O55" s="147"/>
      <c r="P55" s="149">
        <f>P2</f>
        <v>626.70000000000005</v>
      </c>
      <c r="Q55" s="147"/>
      <c r="R55" s="149">
        <f>R2</f>
        <v>626.70000000000005</v>
      </c>
      <c r="S55" s="147"/>
      <c r="T55" s="149">
        <f>T2</f>
        <v>626.70000000000005</v>
      </c>
      <c r="U55" s="147"/>
      <c r="V55" s="149">
        <f>V2</f>
        <v>626.70000000000005</v>
      </c>
      <c r="W55" s="147"/>
      <c r="X55" s="149">
        <f>X2</f>
        <v>626.70000000000005</v>
      </c>
      <c r="Y55" s="147"/>
      <c r="Z55" s="149">
        <f>Z2</f>
        <v>626.70000000000005</v>
      </c>
      <c r="AA55" s="147"/>
    </row>
    <row r="56" spans="1:27" ht="15.75">
      <c r="A56" s="32" t="s">
        <v>66</v>
      </c>
      <c r="B56" s="116">
        <f>ROUND(B54/B55,4)</f>
        <v>1.4616</v>
      </c>
      <c r="C56" s="117" t="s">
        <v>53</v>
      </c>
      <c r="D56" s="33">
        <f>ROUND(D54/D55,4)</f>
        <v>2.4809000000000001</v>
      </c>
      <c r="E56" s="34" t="s">
        <v>53</v>
      </c>
      <c r="F56" s="33">
        <f>ROUND(F54/F55,4)</f>
        <v>2.2967</v>
      </c>
      <c r="G56" s="34" t="s">
        <v>53</v>
      </c>
      <c r="H56" s="33">
        <f>ROUND(H54/H55,4)</f>
        <v>2.7847</v>
      </c>
      <c r="I56" s="34" t="s">
        <v>53</v>
      </c>
      <c r="J56" s="33">
        <f>ROUND(J54/J55,4)</f>
        <v>1.9841</v>
      </c>
      <c r="K56" s="34" t="s">
        <v>53</v>
      </c>
      <c r="L56" s="33">
        <f>ROUND(L54/L55,4)</f>
        <v>2.2281</v>
      </c>
      <c r="M56" s="34" t="s">
        <v>53</v>
      </c>
      <c r="N56" s="151">
        <f>ROUND(N54/N55,4)</f>
        <v>2.4925999999999999</v>
      </c>
      <c r="O56" s="152" t="s">
        <v>53</v>
      </c>
      <c r="P56" s="151">
        <f>ROUND(P54/P55,4)</f>
        <v>2.1255000000000002</v>
      </c>
      <c r="Q56" s="152" t="s">
        <v>53</v>
      </c>
      <c r="R56" s="151">
        <f>ROUND(R54/R55,4)</f>
        <v>2.6009000000000002</v>
      </c>
      <c r="S56" s="152" t="s">
        <v>53</v>
      </c>
      <c r="T56" s="151">
        <f>ROUND(T54/T55,4)</f>
        <v>2.3351999999999999</v>
      </c>
      <c r="U56" s="152" t="s">
        <v>53</v>
      </c>
      <c r="V56" s="151">
        <f>ROUND(V54/V55,4)</f>
        <v>2.7564000000000002</v>
      </c>
      <c r="W56" s="152" t="s">
        <v>53</v>
      </c>
      <c r="X56" s="151">
        <f>ROUND(X54/X55,4)</f>
        <v>2.2503000000000002</v>
      </c>
      <c r="Y56" s="152" t="s">
        <v>53</v>
      </c>
      <c r="Z56" s="151">
        <f>ROUND(Z54/Z55,4)</f>
        <v>2.3146</v>
      </c>
      <c r="AA56" s="152" t="s">
        <v>53</v>
      </c>
    </row>
    <row r="57" spans="1:27" s="123" customFormat="1" ht="15.75">
      <c r="A57" s="124" t="s">
        <v>155</v>
      </c>
      <c r="B57" s="121"/>
      <c r="C57" s="122"/>
      <c r="D57" s="125"/>
      <c r="E57" s="126"/>
      <c r="F57" s="125"/>
      <c r="G57" s="126"/>
      <c r="H57" s="125"/>
      <c r="I57" s="126"/>
      <c r="J57" s="125"/>
      <c r="K57" s="126"/>
      <c r="L57" s="127"/>
      <c r="M57" s="126"/>
      <c r="N57" s="125"/>
      <c r="O57" s="126"/>
      <c r="P57" s="125"/>
      <c r="Q57" s="126"/>
      <c r="R57" s="125"/>
      <c r="S57" s="126"/>
      <c r="T57" s="125"/>
      <c r="U57" s="126"/>
      <c r="V57" s="125"/>
      <c r="W57" s="126"/>
      <c r="X57" s="125"/>
      <c r="Y57" s="126"/>
      <c r="Z57" s="125"/>
      <c r="AA57" s="126"/>
    </row>
    <row r="58" spans="1:27" ht="15.75">
      <c r="A58" s="43"/>
      <c r="B58" s="44" t="s">
        <v>156</v>
      </c>
      <c r="C58" s="45"/>
      <c r="D58" s="42"/>
    </row>
    <row r="59" spans="1:27" ht="15.75">
      <c r="A59" s="43"/>
      <c r="B59" s="46"/>
      <c r="C59" s="45"/>
      <c r="D59" s="42"/>
    </row>
    <row r="60" spans="1:27" ht="15.75">
      <c r="A60" s="39"/>
      <c r="B60" s="40"/>
      <c r="C60" s="41"/>
      <c r="D60" s="42"/>
    </row>
    <row r="61" spans="1:27" ht="15.75">
      <c r="A61" s="43"/>
      <c r="B61" s="44"/>
      <c r="C61" s="45"/>
      <c r="D61" s="42"/>
    </row>
    <row r="62" spans="1:27" ht="15.75">
      <c r="A62" s="43"/>
      <c r="B62" s="46"/>
      <c r="C62" s="45"/>
      <c r="D62" s="42"/>
    </row>
    <row r="63" spans="1:27" ht="15.75">
      <c r="A63" s="43"/>
      <c r="B63" s="47"/>
      <c r="C63" s="45"/>
      <c r="D63" s="42"/>
    </row>
    <row r="64" spans="1:27" ht="15.75">
      <c r="A64" s="43"/>
      <c r="B64" s="46"/>
      <c r="C64" s="45"/>
      <c r="D64" s="42"/>
    </row>
    <row r="65" spans="1:4" ht="15.75">
      <c r="A65" s="43"/>
      <c r="B65" s="44"/>
      <c r="C65" s="45"/>
      <c r="D65" s="42"/>
    </row>
    <row r="66" spans="1:4" ht="15.75">
      <c r="A66" s="48"/>
      <c r="B66" s="49"/>
      <c r="C66" s="50"/>
      <c r="D66" s="42"/>
    </row>
    <row r="67" spans="1:4" ht="15.75">
      <c r="A67" s="39"/>
      <c r="B67" s="40"/>
      <c r="C67" s="41"/>
      <c r="D67" s="42"/>
    </row>
    <row r="68" spans="1:4" ht="15.75">
      <c r="A68" s="43"/>
      <c r="B68" s="44"/>
      <c r="C68" s="45"/>
      <c r="D68" s="42"/>
    </row>
    <row r="69" spans="1:4" ht="15.75">
      <c r="A69" s="43"/>
      <c r="B69" s="46"/>
      <c r="C69" s="45"/>
      <c r="D69" s="42"/>
    </row>
    <row r="70" spans="1:4" ht="15.75">
      <c r="A70" s="43"/>
      <c r="B70" s="47"/>
      <c r="C70" s="45"/>
      <c r="D70" s="42"/>
    </row>
    <row r="71" spans="1:4" ht="15.75">
      <c r="A71" s="43"/>
      <c r="B71" s="46"/>
      <c r="C71" s="45"/>
      <c r="D71" s="42"/>
    </row>
    <row r="72" spans="1:4" ht="15.75">
      <c r="A72" s="43"/>
      <c r="B72" s="44"/>
      <c r="C72" s="45"/>
      <c r="D72" s="42"/>
    </row>
    <row r="73" spans="1:4" ht="15.75">
      <c r="A73" s="48"/>
      <c r="B73" s="49"/>
      <c r="C73" s="50"/>
      <c r="D73" s="42"/>
    </row>
    <row r="74" spans="1:4" ht="15.75">
      <c r="A74" s="39"/>
      <c r="B74" s="40"/>
      <c r="C74" s="41"/>
      <c r="D74" s="42"/>
    </row>
    <row r="75" spans="1:4" ht="15.75">
      <c r="A75" s="43"/>
      <c r="B75" s="44"/>
      <c r="C75" s="45"/>
      <c r="D75" s="42"/>
    </row>
    <row r="76" spans="1:4" ht="15.75">
      <c r="A76" s="43"/>
      <c r="B76" s="44"/>
      <c r="C76" s="45"/>
      <c r="D76" s="42"/>
    </row>
    <row r="77" spans="1:4" ht="15.75">
      <c r="A77" s="43"/>
      <c r="B77" s="46"/>
      <c r="C77" s="45"/>
      <c r="D77" s="42"/>
    </row>
    <row r="78" spans="1:4" ht="15.75">
      <c r="A78" s="43"/>
      <c r="B78" s="44"/>
      <c r="C78" s="45"/>
      <c r="D78" s="42"/>
    </row>
    <row r="79" spans="1:4" ht="15.75">
      <c r="A79" s="48"/>
      <c r="B79" s="49"/>
      <c r="C79" s="50"/>
      <c r="D79" s="42"/>
    </row>
    <row r="80" spans="1:4" ht="15.75">
      <c r="A80" s="39"/>
      <c r="B80" s="40"/>
      <c r="C80" s="41"/>
      <c r="D80" s="42"/>
    </row>
    <row r="81" spans="1:4" ht="15.75">
      <c r="A81" s="51"/>
      <c r="B81" s="52"/>
      <c r="C81" s="53"/>
      <c r="D81" s="42"/>
    </row>
    <row r="82" spans="1:4" ht="15.75">
      <c r="A82" s="43"/>
      <c r="B82" s="46"/>
      <c r="C82" s="45"/>
      <c r="D82" s="42"/>
    </row>
    <row r="83" spans="1:4" ht="15.75">
      <c r="A83" s="43"/>
      <c r="B83" s="46"/>
      <c r="C83" s="45"/>
      <c r="D83" s="42"/>
    </row>
    <row r="84" spans="1:4" ht="15.75">
      <c r="A84" s="43"/>
      <c r="B84" s="44"/>
      <c r="C84" s="45"/>
      <c r="D84" s="42"/>
    </row>
    <row r="85" spans="1:4" ht="15.75">
      <c r="A85" s="43"/>
      <c r="B85" s="44"/>
      <c r="C85" s="45"/>
      <c r="D85" s="42"/>
    </row>
    <row r="86" spans="1:4" ht="15.75">
      <c r="A86" s="43"/>
      <c r="B86" s="44"/>
      <c r="C86" s="45"/>
      <c r="D86" s="42"/>
    </row>
    <row r="87" spans="1:4" ht="15.75">
      <c r="A87" s="43"/>
      <c r="B87" s="47"/>
      <c r="C87" s="45"/>
      <c r="D87" s="42"/>
    </row>
    <row r="88" spans="1:4" ht="15.75">
      <c r="A88" s="43"/>
      <c r="B88" s="44"/>
      <c r="C88" s="45"/>
      <c r="D88" s="42"/>
    </row>
    <row r="89" spans="1:4" ht="15.75">
      <c r="A89" s="48"/>
      <c r="B89" s="49"/>
      <c r="C89" s="50"/>
      <c r="D89" s="42"/>
    </row>
    <row r="90" spans="1:4" ht="15.75">
      <c r="A90" s="51"/>
      <c r="B90" s="52"/>
      <c r="C90" s="53"/>
      <c r="D90" s="42"/>
    </row>
    <row r="91" spans="1:4" ht="15.75">
      <c r="A91" s="54"/>
      <c r="B91" s="55"/>
      <c r="C91" s="54"/>
      <c r="D91" s="42"/>
    </row>
    <row r="92" spans="1:4" ht="15.75">
      <c r="A92" s="51"/>
      <c r="B92" s="52"/>
      <c r="C92" s="53"/>
      <c r="D92" s="42"/>
    </row>
    <row r="93" spans="1:4" ht="15.75">
      <c r="A93" s="56"/>
      <c r="B93" s="56"/>
      <c r="C93" s="56"/>
      <c r="D93" s="42"/>
    </row>
    <row r="94" spans="1:4" ht="15.75">
      <c r="A94" s="43"/>
      <c r="B94" s="44"/>
      <c r="C94" s="45"/>
      <c r="D94" s="42"/>
    </row>
    <row r="95" spans="1:4" ht="15.75">
      <c r="A95" s="43"/>
      <c r="B95" s="47"/>
      <c r="C95" s="45"/>
      <c r="D95" s="42"/>
    </row>
    <row r="96" spans="1:4" ht="15.75">
      <c r="A96" s="43"/>
      <c r="B96" s="44"/>
      <c r="C96" s="45"/>
      <c r="D96" s="42"/>
    </row>
    <row r="97" spans="1:4" ht="15.75">
      <c r="A97" s="43"/>
      <c r="B97" s="44"/>
      <c r="C97" s="45"/>
      <c r="D97" s="42"/>
    </row>
    <row r="98" spans="1:4" ht="15.75">
      <c r="A98" s="48"/>
      <c r="B98" s="49"/>
      <c r="C98" s="50"/>
      <c r="D98" s="42"/>
    </row>
    <row r="99" spans="1:4" ht="15.75">
      <c r="A99" s="56"/>
      <c r="B99" s="56"/>
      <c r="C99" s="56"/>
      <c r="D99" s="42"/>
    </row>
    <row r="100" spans="1:4" ht="15.75">
      <c r="A100" s="43"/>
      <c r="B100" s="44"/>
      <c r="C100" s="45"/>
      <c r="D100" s="42"/>
    </row>
    <row r="101" spans="1:4" ht="15.75">
      <c r="A101" s="43"/>
      <c r="B101" s="47"/>
      <c r="C101" s="45"/>
      <c r="D101" s="42"/>
    </row>
    <row r="102" spans="1:4" ht="15.75">
      <c r="A102" s="43"/>
      <c r="B102" s="57"/>
      <c r="C102" s="45"/>
      <c r="D102" s="42"/>
    </row>
    <row r="103" spans="1:4" ht="15.75">
      <c r="A103" s="43"/>
      <c r="B103" s="44"/>
      <c r="C103" s="45"/>
      <c r="D103" s="42"/>
    </row>
    <row r="104" spans="1:4" ht="15.75">
      <c r="A104" s="43"/>
      <c r="B104" s="44"/>
      <c r="C104" s="45"/>
      <c r="D104" s="42"/>
    </row>
    <row r="105" spans="1:4" ht="15.75">
      <c r="A105" s="48"/>
      <c r="B105" s="49"/>
      <c r="C105" s="50"/>
      <c r="D105" s="42"/>
    </row>
    <row r="106" spans="1:4" ht="15.75">
      <c r="A106" s="56"/>
      <c r="B106" s="56"/>
      <c r="C106" s="56"/>
      <c r="D106" s="42"/>
    </row>
    <row r="107" spans="1:4" ht="15.75">
      <c r="A107" s="43"/>
      <c r="B107" s="47"/>
      <c r="C107" s="45"/>
      <c r="D107" s="42"/>
    </row>
    <row r="108" spans="1:4" ht="15.75">
      <c r="A108" s="43"/>
      <c r="B108" s="44"/>
      <c r="C108" s="45"/>
      <c r="D108" s="42"/>
    </row>
    <row r="109" spans="1:4" ht="15.75">
      <c r="A109" s="43"/>
      <c r="B109" s="44"/>
      <c r="C109" s="45"/>
      <c r="D109" s="42"/>
    </row>
    <row r="110" spans="1:4" ht="15.75">
      <c r="A110" s="48"/>
      <c r="B110" s="49"/>
      <c r="C110" s="50"/>
      <c r="D110" s="42"/>
    </row>
    <row r="111" spans="1:4" ht="15.75">
      <c r="A111" s="56"/>
      <c r="B111" s="56"/>
      <c r="C111" s="56"/>
      <c r="D111" s="42"/>
    </row>
    <row r="112" spans="1:4" ht="15.75">
      <c r="A112" s="43"/>
      <c r="B112" s="44"/>
      <c r="C112" s="45"/>
      <c r="D112" s="42"/>
    </row>
    <row r="113" spans="1:4" ht="15.75">
      <c r="A113" s="43"/>
      <c r="B113" s="47"/>
      <c r="C113" s="45"/>
      <c r="D113" s="42"/>
    </row>
    <row r="114" spans="1:4" ht="15.75">
      <c r="A114" s="43"/>
      <c r="B114" s="58"/>
      <c r="C114" s="45"/>
      <c r="D114" s="42"/>
    </row>
    <row r="115" spans="1:4" ht="15.75">
      <c r="A115" s="43"/>
      <c r="B115" s="44"/>
      <c r="C115" s="45"/>
      <c r="D115" s="42"/>
    </row>
    <row r="116" spans="1:4" ht="15.75">
      <c r="A116" s="43"/>
      <c r="B116" s="44"/>
      <c r="C116" s="45"/>
      <c r="D116" s="42"/>
    </row>
    <row r="117" spans="1:4" ht="15.75">
      <c r="A117" s="48"/>
      <c r="B117" s="49"/>
      <c r="C117" s="50"/>
      <c r="D117" s="42"/>
    </row>
    <row r="118" spans="1:4" ht="15.75">
      <c r="A118" s="56"/>
      <c r="B118" s="56"/>
      <c r="C118" s="56"/>
      <c r="D118" s="42"/>
    </row>
    <row r="119" spans="1:4" ht="15.75">
      <c r="A119" s="43"/>
      <c r="B119" s="44"/>
      <c r="C119" s="45"/>
      <c r="D119" s="42"/>
    </row>
    <row r="120" spans="1:4" ht="15.75">
      <c r="A120" s="43"/>
      <c r="B120" s="47"/>
      <c r="C120" s="45"/>
      <c r="D120" s="42"/>
    </row>
    <row r="121" spans="1:4" ht="15.75">
      <c r="A121" s="43"/>
      <c r="B121" s="58"/>
      <c r="C121" s="45"/>
      <c r="D121" s="42"/>
    </row>
    <row r="122" spans="1:4" ht="15.75">
      <c r="A122" s="43"/>
      <c r="B122" s="44"/>
      <c r="C122" s="45"/>
      <c r="D122" s="42"/>
    </row>
    <row r="123" spans="1:4" ht="15.75">
      <c r="A123" s="43"/>
      <c r="B123" s="44"/>
      <c r="C123" s="45"/>
      <c r="D123" s="42"/>
    </row>
    <row r="124" spans="1:4" ht="15.75">
      <c r="A124" s="48"/>
      <c r="B124" s="49"/>
      <c r="C124" s="50"/>
      <c r="D124" s="42"/>
    </row>
    <row r="125" spans="1:4" ht="15.75">
      <c r="A125" s="56"/>
      <c r="B125" s="56"/>
      <c r="C125" s="56"/>
      <c r="D125" s="42"/>
    </row>
    <row r="126" spans="1:4" ht="15.75">
      <c r="A126" s="43"/>
      <c r="B126" s="44"/>
      <c r="C126" s="45"/>
      <c r="D126" s="42"/>
    </row>
    <row r="127" spans="1:4" ht="15.75">
      <c r="A127" s="43"/>
      <c r="B127" s="47"/>
      <c r="C127" s="45"/>
      <c r="D127" s="42"/>
    </row>
    <row r="128" spans="1:4" ht="15.75">
      <c r="A128" s="43"/>
      <c r="B128" s="58"/>
      <c r="C128" s="45"/>
      <c r="D128" s="42"/>
    </row>
    <row r="129" spans="1:4" ht="15.75">
      <c r="A129" s="43"/>
      <c r="B129" s="44"/>
      <c r="C129" s="45"/>
      <c r="D129" s="42"/>
    </row>
    <row r="130" spans="1:4" ht="15.75">
      <c r="A130" s="43"/>
      <c r="B130" s="44"/>
      <c r="C130" s="45"/>
      <c r="D130" s="42"/>
    </row>
    <row r="131" spans="1:4" ht="15.75">
      <c r="A131" s="48"/>
      <c r="B131" s="49"/>
      <c r="C131" s="50"/>
      <c r="D131" s="42"/>
    </row>
    <row r="132" spans="1:4" ht="15.75">
      <c r="A132" s="56"/>
      <c r="B132" s="56"/>
      <c r="C132" s="56"/>
      <c r="D132" s="42"/>
    </row>
    <row r="133" spans="1:4" ht="15.75">
      <c r="A133" s="43"/>
      <c r="B133" s="47"/>
      <c r="C133" s="45"/>
      <c r="D133" s="42"/>
    </row>
    <row r="134" spans="1:4" ht="15.75">
      <c r="A134" s="43"/>
      <c r="B134" s="44"/>
      <c r="C134" s="45"/>
      <c r="D134" s="42"/>
    </row>
    <row r="135" spans="1:4" ht="15.75">
      <c r="A135" s="43"/>
      <c r="B135" s="44"/>
      <c r="C135" s="45"/>
      <c r="D135" s="42"/>
    </row>
    <row r="136" spans="1:4" ht="15.75">
      <c r="A136" s="48"/>
      <c r="B136" s="49"/>
      <c r="C136" s="50"/>
      <c r="D136" s="42"/>
    </row>
    <row r="137" spans="1:4" ht="15.75">
      <c r="A137" s="56"/>
      <c r="B137" s="56"/>
      <c r="C137" s="56"/>
      <c r="D137" s="42"/>
    </row>
    <row r="138" spans="1:4" ht="15.75">
      <c r="A138" s="43"/>
      <c r="B138" s="44"/>
      <c r="C138" s="45"/>
      <c r="D138" s="42"/>
    </row>
    <row r="139" spans="1:4" ht="15.75">
      <c r="A139" s="43"/>
      <c r="B139" s="59"/>
      <c r="C139" s="45"/>
      <c r="D139" s="42"/>
    </row>
    <row r="140" spans="1:4" ht="15.75">
      <c r="A140" s="43"/>
      <c r="B140" s="44"/>
      <c r="C140" s="45"/>
      <c r="D140" s="42"/>
    </row>
    <row r="141" spans="1:4" ht="15.75">
      <c r="A141" s="48"/>
      <c r="B141" s="49"/>
      <c r="C141" s="50"/>
      <c r="D141" s="42"/>
    </row>
    <row r="142" spans="1:4" ht="15.75">
      <c r="A142" s="56"/>
      <c r="B142" s="56"/>
      <c r="C142" s="56"/>
      <c r="D142" s="42"/>
    </row>
    <row r="143" spans="1:4" ht="15.75">
      <c r="A143" s="43"/>
      <c r="B143" s="47"/>
      <c r="C143" s="45"/>
      <c r="D143" s="42"/>
    </row>
    <row r="144" spans="1:4" ht="15.75">
      <c r="A144" s="43"/>
      <c r="B144" s="44"/>
      <c r="C144" s="45"/>
      <c r="D144" s="42"/>
    </row>
    <row r="145" spans="1:4" ht="15.75">
      <c r="A145" s="43"/>
      <c r="B145" s="44"/>
      <c r="C145" s="45"/>
      <c r="D145" s="42"/>
    </row>
    <row r="146" spans="1:4" ht="15.75">
      <c r="A146" s="48"/>
      <c r="B146" s="49"/>
      <c r="C146" s="50"/>
      <c r="D146" s="42"/>
    </row>
    <row r="147" spans="1:4" ht="15.75">
      <c r="A147" s="56"/>
      <c r="B147" s="56"/>
      <c r="C147" s="56"/>
      <c r="D147" s="42"/>
    </row>
    <row r="148" spans="1:4" ht="15.75">
      <c r="A148" s="60"/>
      <c r="B148" s="47"/>
      <c r="C148" s="45"/>
      <c r="D148" s="42"/>
    </row>
    <row r="149" spans="1:4" ht="15.75">
      <c r="A149" s="43"/>
      <c r="B149" s="44"/>
      <c r="C149" s="45"/>
      <c r="D149" s="42"/>
    </row>
    <row r="150" spans="1:4" ht="15.75">
      <c r="A150" s="43"/>
      <c r="B150" s="44"/>
      <c r="C150" s="45"/>
      <c r="D150" s="42"/>
    </row>
    <row r="151" spans="1:4" ht="15.75">
      <c r="A151" s="48"/>
      <c r="B151" s="49"/>
      <c r="C151" s="50"/>
      <c r="D151" s="42"/>
    </row>
    <row r="152" spans="1:4" ht="15.75">
      <c r="A152" s="56"/>
      <c r="B152" s="56"/>
      <c r="C152" s="56"/>
      <c r="D152" s="42"/>
    </row>
    <row r="153" spans="1:4" ht="15.75">
      <c r="A153" s="43"/>
      <c r="B153" s="44"/>
      <c r="C153" s="45"/>
      <c r="D153" s="42"/>
    </row>
    <row r="154" spans="1:4" ht="15.75">
      <c r="A154" s="43"/>
      <c r="B154" s="44"/>
      <c r="C154" s="45"/>
      <c r="D154" s="42"/>
    </row>
    <row r="155" spans="1:4" ht="15.75">
      <c r="A155" s="43"/>
      <c r="B155" s="58"/>
      <c r="C155" s="45"/>
      <c r="D155" s="42"/>
    </row>
    <row r="156" spans="1:4" ht="15.75">
      <c r="A156" s="43"/>
      <c r="B156" s="44"/>
      <c r="C156" s="45"/>
      <c r="D156" s="42"/>
    </row>
    <row r="157" spans="1:4" ht="15.75">
      <c r="A157" s="43"/>
      <c r="B157" s="44"/>
      <c r="C157" s="45"/>
      <c r="D157" s="42"/>
    </row>
    <row r="158" spans="1:4" ht="15.75">
      <c r="A158" s="48"/>
      <c r="B158" s="49"/>
      <c r="C158" s="50"/>
      <c r="D158" s="42"/>
    </row>
    <row r="159" spans="1:4" ht="15.75">
      <c r="A159" s="61"/>
      <c r="B159" s="40"/>
      <c r="C159" s="62"/>
      <c r="D159" s="42"/>
    </row>
    <row r="160" spans="1:4" ht="15.75">
      <c r="A160" s="51"/>
      <c r="B160" s="40"/>
      <c r="C160" s="53"/>
      <c r="D160" s="42"/>
    </row>
    <row r="161" spans="1:4" ht="15.75">
      <c r="A161" s="54"/>
      <c r="B161" s="55"/>
      <c r="C161" s="54"/>
      <c r="D161" s="42"/>
    </row>
    <row r="162" spans="1:4" ht="15.75">
      <c r="A162" s="63"/>
      <c r="B162" s="40"/>
      <c r="C162" s="62"/>
      <c r="D162" s="42"/>
    </row>
    <row r="163" spans="1:4" ht="15.75">
      <c r="A163" s="48"/>
      <c r="B163" s="49"/>
      <c r="C163" s="50"/>
      <c r="D163" s="42"/>
    </row>
    <row r="164" spans="1:4" ht="15.75">
      <c r="A164" s="63"/>
      <c r="B164" s="40"/>
      <c r="C164" s="62"/>
      <c r="D164" s="42"/>
    </row>
    <row r="165" spans="1:4" ht="15.75">
      <c r="A165" s="54"/>
      <c r="B165" s="55"/>
      <c r="C165" s="54"/>
      <c r="D165" s="42"/>
    </row>
    <row r="166" spans="1:4" ht="15.75">
      <c r="A166" s="63"/>
      <c r="B166" s="40"/>
      <c r="C166" s="62"/>
      <c r="D166" s="42"/>
    </row>
    <row r="167" spans="1:4" ht="15.75">
      <c r="A167" s="63"/>
      <c r="B167" s="40"/>
      <c r="C167" s="62"/>
      <c r="D167" s="42"/>
    </row>
    <row r="168" spans="1:4" ht="20.25">
      <c r="A168" s="64"/>
      <c r="B168" s="65"/>
      <c r="C168" s="66"/>
      <c r="D168" s="42"/>
    </row>
    <row r="169" spans="1:4">
      <c r="A169" s="67"/>
      <c r="B169" s="42"/>
      <c r="C169" s="68"/>
      <c r="D169" s="42"/>
    </row>
    <row r="170" spans="1:4">
      <c r="A170" s="67"/>
      <c r="B170" s="42"/>
      <c r="C170" s="68"/>
      <c r="D170" s="42"/>
    </row>
  </sheetData>
  <mergeCells count="13">
    <mergeCell ref="N1:O1"/>
    <mergeCell ref="P1:Q1"/>
    <mergeCell ref="B1:C1"/>
    <mergeCell ref="D1:E1"/>
    <mergeCell ref="F1:G1"/>
    <mergeCell ref="H1:I1"/>
    <mergeCell ref="J1:K1"/>
    <mergeCell ref="L1:M1"/>
    <mergeCell ref="R1:S1"/>
    <mergeCell ref="T1:U1"/>
    <mergeCell ref="V1:W1"/>
    <mergeCell ref="X1:Y1"/>
    <mergeCell ref="Z1:AA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3"/>
  <sheetViews>
    <sheetView topLeftCell="A152" workbookViewId="0">
      <selection activeCell="C164" sqref="C164"/>
    </sheetView>
  </sheetViews>
  <sheetFormatPr defaultRowHeight="15"/>
  <cols>
    <col min="1" max="1" width="49.140625" bestFit="1" customWidth="1"/>
    <col min="2" max="2" width="11.28515625" style="37" bestFit="1" customWidth="1"/>
    <col min="3" max="3" width="13.42578125" style="38" bestFit="1" customWidth="1"/>
  </cols>
  <sheetData>
    <row r="1" spans="1:3" ht="15.75">
      <c r="A1" s="136" t="s">
        <v>163</v>
      </c>
      <c r="B1" s="201" t="s">
        <v>23</v>
      </c>
      <c r="C1" s="201"/>
    </row>
    <row r="2" spans="1:3" ht="15.75">
      <c r="A2" s="137" t="s">
        <v>31</v>
      </c>
      <c r="B2" s="138">
        <v>626.70000000000005</v>
      </c>
      <c r="C2" s="139" t="s">
        <v>32</v>
      </c>
    </row>
    <row r="3" spans="1:3" ht="15.75">
      <c r="A3" s="137" t="s">
        <v>33</v>
      </c>
      <c r="B3" s="140">
        <v>2</v>
      </c>
      <c r="C3" s="139" t="s">
        <v>34</v>
      </c>
    </row>
    <row r="4" spans="1:3" ht="15.75">
      <c r="A4" s="137" t="s">
        <v>35</v>
      </c>
      <c r="B4" s="140">
        <v>0</v>
      </c>
      <c r="C4" s="139" t="s">
        <v>36</v>
      </c>
    </row>
    <row r="5" spans="1:3" ht="15.75">
      <c r="A5" s="137" t="s">
        <v>37</v>
      </c>
      <c r="B5" s="138">
        <v>498.5</v>
      </c>
      <c r="C5" s="139" t="s">
        <v>32</v>
      </c>
    </row>
    <row r="6" spans="1:3" ht="15.75">
      <c r="A6" s="137" t="s">
        <v>38</v>
      </c>
      <c r="B6" s="140">
        <v>16</v>
      </c>
      <c r="C6" s="139" t="s">
        <v>34</v>
      </c>
    </row>
    <row r="7" spans="1:3" ht="15.75">
      <c r="A7" s="137" t="s">
        <v>39</v>
      </c>
      <c r="B7" s="138">
        <v>30</v>
      </c>
      <c r="C7" s="139" t="s">
        <v>32</v>
      </c>
    </row>
    <row r="8" spans="1:3" ht="15.75">
      <c r="A8" s="137" t="s">
        <v>40</v>
      </c>
      <c r="B8" s="138">
        <v>48</v>
      </c>
      <c r="C8" s="139" t="s">
        <v>32</v>
      </c>
    </row>
    <row r="9" spans="1:3" ht="15.75">
      <c r="A9" s="137" t="s">
        <v>41</v>
      </c>
      <c r="B9" s="138">
        <v>0</v>
      </c>
      <c r="C9" s="139" t="s">
        <v>32</v>
      </c>
    </row>
    <row r="10" spans="1:3" ht="15.75">
      <c r="A10" s="137" t="s">
        <v>42</v>
      </c>
      <c r="B10" s="138">
        <v>144</v>
      </c>
      <c r="C10" s="139" t="s">
        <v>43</v>
      </c>
    </row>
    <row r="11" spans="1:3" ht="15.75">
      <c r="A11" s="137" t="s">
        <v>44</v>
      </c>
      <c r="B11" s="140">
        <v>0</v>
      </c>
      <c r="C11" s="139" t="s">
        <v>36</v>
      </c>
    </row>
    <row r="12" spans="1:3" ht="15.75">
      <c r="A12" s="137" t="s">
        <v>45</v>
      </c>
      <c r="B12" s="140">
        <v>1</v>
      </c>
      <c r="C12" s="139" t="s">
        <v>36</v>
      </c>
    </row>
    <row r="13" spans="1:3" ht="15.75">
      <c r="A13" s="137" t="s">
        <v>46</v>
      </c>
      <c r="B13" s="138">
        <v>50</v>
      </c>
      <c r="C13" s="139" t="s">
        <v>32</v>
      </c>
    </row>
    <row r="14" spans="1:3" ht="15.75">
      <c r="A14" s="137" t="s">
        <v>47</v>
      </c>
      <c r="B14" s="138">
        <v>68</v>
      </c>
      <c r="C14" s="139" t="s">
        <v>32</v>
      </c>
    </row>
    <row r="15" spans="1:3" ht="15.75">
      <c r="A15" s="137" t="s">
        <v>48</v>
      </c>
      <c r="B15" s="138">
        <v>0</v>
      </c>
      <c r="C15" s="139" t="s">
        <v>32</v>
      </c>
    </row>
    <row r="16" spans="1:3" ht="15.75">
      <c r="A16" s="137" t="s">
        <v>49</v>
      </c>
      <c r="B16" s="138">
        <v>454.2</v>
      </c>
      <c r="C16" s="139" t="s">
        <v>32</v>
      </c>
    </row>
    <row r="17" spans="1:3" ht="15.75">
      <c r="A17" s="137" t="s">
        <v>50</v>
      </c>
      <c r="B17" s="138">
        <v>30</v>
      </c>
      <c r="C17" s="139" t="s">
        <v>32</v>
      </c>
    </row>
    <row r="18" spans="1:3" ht="47.25">
      <c r="A18" s="141" t="s">
        <v>51</v>
      </c>
      <c r="B18" s="142"/>
      <c r="C18" s="141"/>
    </row>
    <row r="19" spans="1:3" ht="15.75">
      <c r="A19" s="143" t="s">
        <v>52</v>
      </c>
      <c r="B19" s="144">
        <f>ROUND(B33*1.2,4)</f>
        <v>1.0482</v>
      </c>
      <c r="C19" s="145" t="s">
        <v>53</v>
      </c>
    </row>
    <row r="20" spans="1:3" ht="15.75">
      <c r="A20" s="146" t="str">
        <f>A16</f>
        <v>убираемая территория</v>
      </c>
      <c r="B20" s="138">
        <f>B16</f>
        <v>454.2</v>
      </c>
      <c r="C20" s="147" t="str">
        <f>C16</f>
        <v>м2</v>
      </c>
    </row>
    <row r="21" spans="1:3" ht="15.75">
      <c r="A21" s="146" t="s">
        <v>54</v>
      </c>
      <c r="B21" s="140">
        <v>6900</v>
      </c>
      <c r="C21" s="147" t="s">
        <v>32</v>
      </c>
    </row>
    <row r="22" spans="1:3" ht="15.75">
      <c r="A22" s="146" t="s">
        <v>55</v>
      </c>
      <c r="B22" s="138">
        <v>4719.32</v>
      </c>
      <c r="C22" s="147" t="s">
        <v>53</v>
      </c>
    </row>
    <row r="23" spans="1:3" ht="15.75">
      <c r="A23" s="146" t="s">
        <v>56</v>
      </c>
      <c r="B23" s="148">
        <v>0.22</v>
      </c>
      <c r="C23" s="147"/>
    </row>
    <row r="24" spans="1:3" ht="15.75">
      <c r="A24" s="146" t="s">
        <v>57</v>
      </c>
      <c r="B24" s="148">
        <v>0.5</v>
      </c>
      <c r="C24" s="147"/>
    </row>
    <row r="25" spans="1:3" ht="15.75">
      <c r="A25" s="146" t="s">
        <v>58</v>
      </c>
      <c r="B25" s="149">
        <v>202.08</v>
      </c>
      <c r="C25" s="147" t="s">
        <v>53</v>
      </c>
    </row>
    <row r="26" spans="1:3" ht="15.75">
      <c r="A26" s="146" t="s">
        <v>59</v>
      </c>
      <c r="B26" s="149">
        <f>ROUND(B20/B21,4)</f>
        <v>6.5799999999999997E-2</v>
      </c>
      <c r="C26" s="147" t="s">
        <v>60</v>
      </c>
    </row>
    <row r="27" spans="1:3" ht="15.75">
      <c r="A27" s="146" t="s">
        <v>61</v>
      </c>
      <c r="B27" s="149">
        <f>ROUND(B26*B22,4)</f>
        <v>310.53129999999999</v>
      </c>
      <c r="C27" s="147" t="s">
        <v>53</v>
      </c>
    </row>
    <row r="28" spans="1:3" ht="15.75">
      <c r="A28" s="146" t="s">
        <v>62</v>
      </c>
      <c r="B28" s="149">
        <f>ROUND(B27*B23,4)</f>
        <v>68.316900000000004</v>
      </c>
      <c r="C28" s="147" t="s">
        <v>53</v>
      </c>
    </row>
    <row r="29" spans="1:3" ht="15.75">
      <c r="A29" s="146" t="s">
        <v>63</v>
      </c>
      <c r="B29" s="149">
        <f>B27*B24</f>
        <v>155.26564999999999</v>
      </c>
      <c r="C29" s="147" t="s">
        <v>53</v>
      </c>
    </row>
    <row r="30" spans="1:3" ht="15.75">
      <c r="A30" s="146" t="s">
        <v>64</v>
      </c>
      <c r="B30" s="149">
        <f>ROUND(B25*B26,4)</f>
        <v>13.296900000000001</v>
      </c>
      <c r="C30" s="147" t="s">
        <v>53</v>
      </c>
    </row>
    <row r="31" spans="1:3" ht="15.75">
      <c r="A31" s="146" t="s">
        <v>65</v>
      </c>
      <c r="B31" s="149">
        <f>B27+B28+B29+B30</f>
        <v>547.41075000000001</v>
      </c>
      <c r="C31" s="147" t="s">
        <v>53</v>
      </c>
    </row>
    <row r="32" spans="1:3" ht="15.75">
      <c r="A32" s="146" t="str">
        <f>A2</f>
        <v>общая площадь дома</v>
      </c>
      <c r="B32" s="149">
        <f>B2</f>
        <v>626.70000000000005</v>
      </c>
      <c r="C32" s="147" t="str">
        <f>C2</f>
        <v>м2</v>
      </c>
    </row>
    <row r="33" spans="1:3" ht="15.75">
      <c r="A33" s="150" t="s">
        <v>66</v>
      </c>
      <c r="B33" s="151">
        <f>ROUND(B31/B32,4)</f>
        <v>0.87350000000000005</v>
      </c>
      <c r="C33" s="152" t="s">
        <v>53</v>
      </c>
    </row>
    <row r="34" spans="1:3" ht="15.75">
      <c r="A34" s="143" t="s">
        <v>140</v>
      </c>
      <c r="B34" s="144">
        <f>0</f>
        <v>0</v>
      </c>
      <c r="C34" s="145" t="s">
        <v>53</v>
      </c>
    </row>
    <row r="35" spans="1:3" ht="31.5">
      <c r="A35" s="143" t="s">
        <v>141</v>
      </c>
      <c r="B35" s="144">
        <f>0</f>
        <v>0</v>
      </c>
      <c r="C35" s="145" t="s">
        <v>53</v>
      </c>
    </row>
    <row r="36" spans="1:3" ht="15.75">
      <c r="A36" s="143" t="s">
        <v>67</v>
      </c>
      <c r="B36" s="144">
        <f>ROUND(B58*1.2,4)</f>
        <v>1.7539</v>
      </c>
      <c r="C36" s="145" t="s">
        <v>53</v>
      </c>
    </row>
    <row r="37" spans="1:3" ht="15.75">
      <c r="A37" s="146" t="str">
        <f>A6</f>
        <v>количество квартир</v>
      </c>
      <c r="B37" s="140">
        <f>B6</f>
        <v>16</v>
      </c>
      <c r="C37" s="147"/>
    </row>
    <row r="38" spans="1:3" ht="15.75">
      <c r="A38" s="146" t="str">
        <f>A2</f>
        <v>общая площадь дома</v>
      </c>
      <c r="B38" s="138">
        <f>B2</f>
        <v>626.70000000000005</v>
      </c>
      <c r="C38" s="147" t="str">
        <f>C2</f>
        <v>м2</v>
      </c>
    </row>
    <row r="39" spans="1:3" ht="15.75">
      <c r="A39" s="146" t="s">
        <v>68</v>
      </c>
      <c r="B39" s="140">
        <v>329</v>
      </c>
      <c r="C39" s="147" t="s">
        <v>69</v>
      </c>
    </row>
    <row r="40" spans="1:3" ht="15.75">
      <c r="A40" s="146" t="s">
        <v>70</v>
      </c>
      <c r="B40" s="140">
        <v>124000</v>
      </c>
      <c r="C40" s="147" t="s">
        <v>32</v>
      </c>
    </row>
    <row r="41" spans="1:3" ht="15.75">
      <c r="A41" s="146" t="s">
        <v>71</v>
      </c>
      <c r="B41" s="138">
        <v>6092.62</v>
      </c>
      <c r="C41" s="147" t="s">
        <v>53</v>
      </c>
    </row>
    <row r="42" spans="1:3" ht="15.75">
      <c r="A42" s="146" t="s">
        <v>72</v>
      </c>
      <c r="B42" s="138">
        <v>8032.12</v>
      </c>
      <c r="C42" s="147" t="s">
        <v>53</v>
      </c>
    </row>
    <row r="43" spans="1:3" ht="15.75">
      <c r="A43" s="146" t="s">
        <v>56</v>
      </c>
      <c r="B43" s="148">
        <v>0.22</v>
      </c>
      <c r="C43" s="147"/>
    </row>
    <row r="44" spans="1:3" ht="15.75">
      <c r="A44" s="146" t="s">
        <v>57</v>
      </c>
      <c r="B44" s="148">
        <v>0.5</v>
      </c>
      <c r="C44" s="147"/>
    </row>
    <row r="45" spans="1:3" ht="15.75">
      <c r="A45" s="146" t="s">
        <v>73</v>
      </c>
      <c r="B45" s="149">
        <v>233.17</v>
      </c>
      <c r="C45" s="147" t="s">
        <v>53</v>
      </c>
    </row>
    <row r="46" spans="1:3" ht="15.75">
      <c r="A46" s="146" t="s">
        <v>74</v>
      </c>
      <c r="B46" s="149">
        <v>406.5</v>
      </c>
      <c r="C46" s="147" t="s">
        <v>53</v>
      </c>
    </row>
    <row r="47" spans="1:3" ht="15.75">
      <c r="A47" s="146" t="s">
        <v>75</v>
      </c>
      <c r="B47" s="149">
        <f>ROUND(B37/B39,4)</f>
        <v>4.8599999999999997E-2</v>
      </c>
      <c r="C47" s="147" t="s">
        <v>60</v>
      </c>
    </row>
    <row r="48" spans="1:3" ht="15.75">
      <c r="A48" s="146" t="s">
        <v>76</v>
      </c>
      <c r="B48" s="149">
        <f>ROUND(B38/B40,4)</f>
        <v>5.1000000000000004E-3</v>
      </c>
      <c r="C48" s="147" t="s">
        <v>60</v>
      </c>
    </row>
    <row r="49" spans="1:3" ht="15.75">
      <c r="A49" s="146" t="s">
        <v>77</v>
      </c>
      <c r="B49" s="149">
        <f>ROUND(B47*B41,4)</f>
        <v>296.10129999999998</v>
      </c>
      <c r="C49" s="147" t="s">
        <v>53</v>
      </c>
    </row>
    <row r="50" spans="1:3" ht="15.75">
      <c r="A50" s="146" t="s">
        <v>78</v>
      </c>
      <c r="B50" s="149">
        <f>ROUND(B42*B48,4)</f>
        <v>40.963799999999999</v>
      </c>
      <c r="C50" s="147" t="s">
        <v>53</v>
      </c>
    </row>
    <row r="51" spans="1:3" ht="15.75">
      <c r="A51" s="146" t="s">
        <v>79</v>
      </c>
      <c r="B51" s="149">
        <f>B49+B50</f>
        <v>337.06509999999997</v>
      </c>
      <c r="C51" s="147" t="s">
        <v>53</v>
      </c>
    </row>
    <row r="52" spans="1:3" ht="15.75">
      <c r="A52" s="146" t="s">
        <v>62</v>
      </c>
      <c r="B52" s="149">
        <f>ROUND(B51*B43,4)</f>
        <v>74.154300000000006</v>
      </c>
      <c r="C52" s="147" t="s">
        <v>53</v>
      </c>
    </row>
    <row r="53" spans="1:3" ht="15.75">
      <c r="A53" s="146" t="s">
        <v>63</v>
      </c>
      <c r="B53" s="149">
        <f>B51*B44</f>
        <v>168.53254999999999</v>
      </c>
      <c r="C53" s="147" t="s">
        <v>53</v>
      </c>
    </row>
    <row r="54" spans="1:3" ht="15.75">
      <c r="A54" s="146" t="s">
        <v>64</v>
      </c>
      <c r="B54" s="149">
        <f>ROUND(B47*B45+B48*B46,4)</f>
        <v>13.405200000000001</v>
      </c>
      <c r="C54" s="147" t="s">
        <v>53</v>
      </c>
    </row>
    <row r="55" spans="1:3" ht="15.75">
      <c r="A55" s="153" t="s">
        <v>80</v>
      </c>
      <c r="B55" s="138">
        <v>322.8</v>
      </c>
      <c r="C55" s="147" t="s">
        <v>53</v>
      </c>
    </row>
    <row r="56" spans="1:3" ht="15.75">
      <c r="A56" s="146" t="s">
        <v>65</v>
      </c>
      <c r="B56" s="149">
        <f>B51+B52+B53+B54+B55</f>
        <v>915.95714999999996</v>
      </c>
      <c r="C56" s="147" t="s">
        <v>53</v>
      </c>
    </row>
    <row r="57" spans="1:3" ht="15.75">
      <c r="A57" s="146" t="str">
        <f>A2</f>
        <v>общая площадь дома</v>
      </c>
      <c r="B57" s="149">
        <f>B2</f>
        <v>626.70000000000005</v>
      </c>
      <c r="C57" s="147" t="str">
        <f>C2</f>
        <v>м2</v>
      </c>
    </row>
    <row r="58" spans="1:3" ht="15.75">
      <c r="A58" s="150" t="s">
        <v>66</v>
      </c>
      <c r="B58" s="151">
        <f>ROUND(B56/B57,4)</f>
        <v>1.4616</v>
      </c>
      <c r="C58" s="152" t="s">
        <v>53</v>
      </c>
    </row>
    <row r="59" spans="1:3" ht="15.75">
      <c r="A59" s="143" t="s">
        <v>81</v>
      </c>
      <c r="B59" s="144">
        <f>ROUND(B65*1.2,4)</f>
        <v>2.3E-3</v>
      </c>
      <c r="C59" s="145" t="s">
        <v>53</v>
      </c>
    </row>
    <row r="60" spans="1:3" ht="15.75">
      <c r="A60" s="146" t="str">
        <f>A7</f>
        <v>площадь подвалов</v>
      </c>
      <c r="B60" s="138">
        <f>B7</f>
        <v>30</v>
      </c>
      <c r="C60" s="147" t="str">
        <f>C7</f>
        <v>м2</v>
      </c>
    </row>
    <row r="61" spans="1:3" ht="15.75">
      <c r="A61" s="146" t="s">
        <v>82</v>
      </c>
      <c r="B61" s="149">
        <v>0.24</v>
      </c>
      <c r="C61" s="147" t="s">
        <v>83</v>
      </c>
    </row>
    <row r="62" spans="1:3" ht="15.75">
      <c r="A62" s="146" t="s">
        <v>84</v>
      </c>
      <c r="B62" s="140">
        <v>2</v>
      </c>
      <c r="C62" s="147" t="s">
        <v>85</v>
      </c>
    </row>
    <row r="63" spans="1:3" ht="15.75">
      <c r="A63" s="146" t="s">
        <v>86</v>
      </c>
      <c r="B63" s="149">
        <f>ROUND(B60*B61*B62,4)</f>
        <v>14.4</v>
      </c>
      <c r="C63" s="147" t="s">
        <v>87</v>
      </c>
    </row>
    <row r="64" spans="1:3" ht="15.75">
      <c r="A64" s="146" t="str">
        <f>A2</f>
        <v>общая площадь дома</v>
      </c>
      <c r="B64" s="138">
        <f>B2</f>
        <v>626.70000000000005</v>
      </c>
      <c r="C64" s="147" t="str">
        <f>C2</f>
        <v>м2</v>
      </c>
    </row>
    <row r="65" spans="1:3" ht="15.75">
      <c r="A65" s="150" t="s">
        <v>66</v>
      </c>
      <c r="B65" s="151">
        <f>ROUND(B63/B64/12,4)</f>
        <v>1.9E-3</v>
      </c>
      <c r="C65" s="152" t="s">
        <v>53</v>
      </c>
    </row>
    <row r="66" spans="1:3" ht="15.75">
      <c r="A66" s="143" t="s">
        <v>88</v>
      </c>
      <c r="B66" s="144">
        <f>ROUND(B72*1.2,4)</f>
        <v>2.8999999999999998E-3</v>
      </c>
      <c r="C66" s="145" t="s">
        <v>53</v>
      </c>
    </row>
    <row r="67" spans="1:3" ht="15.75">
      <c r="A67" s="146" t="str">
        <f>A7</f>
        <v>площадь подвалов</v>
      </c>
      <c r="B67" s="138">
        <f>B7</f>
        <v>30</v>
      </c>
      <c r="C67" s="147" t="str">
        <f>C7</f>
        <v>м2</v>
      </c>
    </row>
    <row r="68" spans="1:3" ht="15.75">
      <c r="A68" s="146" t="s">
        <v>82</v>
      </c>
      <c r="B68" s="149">
        <v>0.3</v>
      </c>
      <c r="C68" s="147" t="s">
        <v>83</v>
      </c>
    </row>
    <row r="69" spans="1:3" ht="15.75">
      <c r="A69" s="146" t="s">
        <v>84</v>
      </c>
      <c r="B69" s="140">
        <v>2</v>
      </c>
      <c r="C69" s="147" t="s">
        <v>85</v>
      </c>
    </row>
    <row r="70" spans="1:3" ht="15.75">
      <c r="A70" s="146" t="s">
        <v>86</v>
      </c>
      <c r="B70" s="149">
        <f>ROUND(B67*B68*B69,4)</f>
        <v>18</v>
      </c>
      <c r="C70" s="147" t="s">
        <v>87</v>
      </c>
    </row>
    <row r="71" spans="1:3" ht="15.75">
      <c r="A71" s="146" t="str">
        <f>A2</f>
        <v>общая площадь дома</v>
      </c>
      <c r="B71" s="138">
        <f>B2</f>
        <v>626.70000000000005</v>
      </c>
      <c r="C71" s="147" t="str">
        <f>C2</f>
        <v>м2</v>
      </c>
    </row>
    <row r="72" spans="1:3" ht="15.75">
      <c r="A72" s="150" t="s">
        <v>66</v>
      </c>
      <c r="B72" s="151">
        <f>ROUND(B70/B71/12,4)</f>
        <v>2.3999999999999998E-3</v>
      </c>
      <c r="C72" s="152" t="s">
        <v>53</v>
      </c>
    </row>
    <row r="73" spans="1:3" ht="15.75">
      <c r="A73" s="143" t="s">
        <v>89</v>
      </c>
      <c r="B73" s="144">
        <f>ROUND(B78*1.2,4)</f>
        <v>5.5199999999999999E-2</v>
      </c>
      <c r="C73" s="145" t="s">
        <v>53</v>
      </c>
    </row>
    <row r="74" spans="1:3" ht="15.75">
      <c r="A74" s="146" t="str">
        <f>A10</f>
        <v>протяженность ДВК</v>
      </c>
      <c r="B74" s="138">
        <f>B10</f>
        <v>144</v>
      </c>
      <c r="C74" s="147" t="str">
        <f>C10</f>
        <v>м.п</v>
      </c>
    </row>
    <row r="75" spans="1:3" ht="15.75">
      <c r="A75" s="146" t="s">
        <v>82</v>
      </c>
      <c r="B75" s="138">
        <v>0.2</v>
      </c>
      <c r="C75" s="147" t="s">
        <v>90</v>
      </c>
    </row>
    <row r="76" spans="1:3" ht="15.75">
      <c r="A76" s="146" t="s">
        <v>86</v>
      </c>
      <c r="B76" s="149">
        <f>ROUND(B75*B74,4)</f>
        <v>28.8</v>
      </c>
      <c r="C76" s="147" t="s">
        <v>53</v>
      </c>
    </row>
    <row r="77" spans="1:3" ht="15.75">
      <c r="A77" s="146" t="str">
        <f>A2</f>
        <v>общая площадь дома</v>
      </c>
      <c r="B77" s="138">
        <f>B2</f>
        <v>626.70000000000005</v>
      </c>
      <c r="C77" s="147" t="str">
        <f>C2</f>
        <v>м2</v>
      </c>
    </row>
    <row r="78" spans="1:3" ht="15.75">
      <c r="A78" s="150" t="s">
        <v>66</v>
      </c>
      <c r="B78" s="151">
        <f>ROUND(B76/B77,4)</f>
        <v>4.5999999999999999E-2</v>
      </c>
      <c r="C78" s="152" t="s">
        <v>53</v>
      </c>
    </row>
    <row r="79" spans="1:3" ht="47.25">
      <c r="A79" s="143" t="s">
        <v>91</v>
      </c>
      <c r="B79" s="144">
        <v>7.8600000000000003E-2</v>
      </c>
      <c r="C79" s="145" t="s">
        <v>53</v>
      </c>
    </row>
    <row r="80" spans="1:3" ht="15.75">
      <c r="A80" s="154" t="s">
        <v>92</v>
      </c>
      <c r="B80" s="155">
        <f>ROUND(B88*1.2,4)</f>
        <v>4.1999999999999997E-3</v>
      </c>
      <c r="C80" s="156" t="s">
        <v>53</v>
      </c>
    </row>
    <row r="81" spans="1:3" ht="15.75">
      <c r="A81" s="146" t="s">
        <v>93</v>
      </c>
      <c r="B81" s="149">
        <v>0.03</v>
      </c>
      <c r="C81" s="147" t="s">
        <v>94</v>
      </c>
    </row>
    <row r="82" spans="1:3" ht="15.75">
      <c r="A82" s="146" t="s">
        <v>95</v>
      </c>
      <c r="B82" s="149">
        <v>0</v>
      </c>
      <c r="C82" s="147" t="s">
        <v>94</v>
      </c>
    </row>
    <row r="83" spans="1:3" ht="15.75">
      <c r="A83" s="146" t="s">
        <v>158</v>
      </c>
      <c r="B83" s="138">
        <v>245</v>
      </c>
      <c r="C83" s="147" t="s">
        <v>96</v>
      </c>
    </row>
    <row r="84" spans="1:3" ht="15.75">
      <c r="A84" s="146" t="s">
        <v>97</v>
      </c>
      <c r="B84" s="138">
        <v>0</v>
      </c>
      <c r="C84" s="147" t="s">
        <v>96</v>
      </c>
    </row>
    <row r="85" spans="1:3" ht="15.75">
      <c r="A85" s="146" t="str">
        <f>A17</f>
        <v>площадь подлежащая посыпке</v>
      </c>
      <c r="B85" s="138">
        <f>B17</f>
        <v>30</v>
      </c>
      <c r="C85" s="147" t="str">
        <f>C17</f>
        <v>м2</v>
      </c>
    </row>
    <row r="86" spans="1:3" ht="15.75">
      <c r="A86" s="146" t="s">
        <v>98</v>
      </c>
      <c r="B86" s="140">
        <v>12</v>
      </c>
      <c r="C86" s="147" t="s">
        <v>99</v>
      </c>
    </row>
    <row r="87" spans="1:3" ht="15.75">
      <c r="A87" s="146" t="str">
        <f>A2</f>
        <v>общая площадь дома</v>
      </c>
      <c r="B87" s="138">
        <f>B2</f>
        <v>626.70000000000005</v>
      </c>
      <c r="C87" s="147" t="str">
        <f>C2</f>
        <v>м2</v>
      </c>
    </row>
    <row r="88" spans="1:3" ht="15.75">
      <c r="A88" s="150" t="s">
        <v>66</v>
      </c>
      <c r="B88" s="151">
        <f>(B81*B83+B82*B84)/100*B85*B86/12/B87</f>
        <v>3.5184298707515555E-3</v>
      </c>
      <c r="C88" s="152" t="s">
        <v>53</v>
      </c>
    </row>
    <row r="89" spans="1:3" ht="15.75">
      <c r="A89" s="154" t="s">
        <v>100</v>
      </c>
      <c r="B89" s="155">
        <f>B80+B79+B73+B66+B59+B36+B19</f>
        <v>2.9453</v>
      </c>
      <c r="C89" s="156" t="s">
        <v>53</v>
      </c>
    </row>
    <row r="90" spans="1:3" ht="47.25">
      <c r="A90" s="141" t="s">
        <v>101</v>
      </c>
      <c r="B90" s="142"/>
      <c r="C90" s="141"/>
    </row>
    <row r="91" spans="1:3" ht="15.75">
      <c r="A91" s="154" t="s">
        <v>102</v>
      </c>
      <c r="B91" s="155">
        <f>ROUND((B97+B104+B109+B116+B123+B130+B135+B140+B145+B150+B157+B163)*1.2,4)</f>
        <v>0.86060000000000003</v>
      </c>
      <c r="C91" s="156" t="s">
        <v>53</v>
      </c>
    </row>
    <row r="92" spans="1:3" ht="15.75">
      <c r="A92" s="157" t="s">
        <v>103</v>
      </c>
      <c r="B92" s="157"/>
      <c r="C92" s="157"/>
    </row>
    <row r="93" spans="1:3" ht="15.75">
      <c r="A93" s="146" t="s">
        <v>40</v>
      </c>
      <c r="B93" s="138">
        <f>B8</f>
        <v>48</v>
      </c>
      <c r="C93" s="147" t="s">
        <v>32</v>
      </c>
    </row>
    <row r="94" spans="1:3" ht="15.75">
      <c r="A94" s="146" t="s">
        <v>104</v>
      </c>
      <c r="B94" s="140">
        <v>5</v>
      </c>
      <c r="C94" s="147" t="s">
        <v>105</v>
      </c>
    </row>
    <row r="95" spans="1:3" ht="15.75">
      <c r="A95" s="146" t="s">
        <v>106</v>
      </c>
      <c r="B95" s="138">
        <v>172.4803</v>
      </c>
      <c r="C95" s="147" t="s">
        <v>159</v>
      </c>
    </row>
    <row r="96" spans="1:3" ht="15.75">
      <c r="A96" s="146" t="str">
        <f>A2</f>
        <v>общая площадь дома</v>
      </c>
      <c r="B96" s="138">
        <f>B2</f>
        <v>626.70000000000005</v>
      </c>
      <c r="C96" s="147" t="str">
        <f>C2</f>
        <v>м2</v>
      </c>
    </row>
    <row r="97" spans="1:3" ht="15.75">
      <c r="A97" s="150" t="s">
        <v>66</v>
      </c>
      <c r="B97" s="151">
        <f>ROUND(B93*B95/B94/12/B96,4)</f>
        <v>0.22020000000000001</v>
      </c>
      <c r="C97" s="152" t="s">
        <v>53</v>
      </c>
    </row>
    <row r="98" spans="1:3" ht="15.75">
      <c r="A98" s="157" t="s">
        <v>107</v>
      </c>
      <c r="B98" s="157"/>
      <c r="C98" s="157"/>
    </row>
    <row r="99" spans="1:3" ht="15.75">
      <c r="A99" s="146" t="str">
        <f>A9</f>
        <v>площадь межпанельных швов</v>
      </c>
      <c r="B99" s="138">
        <f>B9</f>
        <v>0</v>
      </c>
      <c r="C99" s="147" t="str">
        <f>C9</f>
        <v>м2</v>
      </c>
    </row>
    <row r="100" spans="1:3" ht="15.75">
      <c r="A100" s="146" t="s">
        <v>104</v>
      </c>
      <c r="B100" s="140">
        <v>1</v>
      </c>
      <c r="C100" s="147" t="s">
        <v>108</v>
      </c>
    </row>
    <row r="101" spans="1:3" ht="15.75">
      <c r="A101" s="146" t="s">
        <v>109</v>
      </c>
      <c r="B101" s="158">
        <v>0.05</v>
      </c>
      <c r="C101" s="147"/>
    </row>
    <row r="102" spans="1:3" ht="15.75">
      <c r="A102" s="146" t="s">
        <v>106</v>
      </c>
      <c r="B102" s="138">
        <v>280.19</v>
      </c>
      <c r="C102" s="147" t="s">
        <v>83</v>
      </c>
    </row>
    <row r="103" spans="1:3" ht="15.75">
      <c r="A103" s="146" t="str">
        <f>A2</f>
        <v>общая площадь дома</v>
      </c>
      <c r="B103" s="138">
        <f>B2</f>
        <v>626.70000000000005</v>
      </c>
      <c r="C103" s="147" t="str">
        <f>C2</f>
        <v>м2</v>
      </c>
    </row>
    <row r="104" spans="1:3" ht="15.75">
      <c r="A104" s="150" t="s">
        <v>66</v>
      </c>
      <c r="B104" s="151">
        <f>ROUND(B99*B101*B102/B100/12/B103,4)</f>
        <v>0</v>
      </c>
      <c r="C104" s="152" t="s">
        <v>53</v>
      </c>
    </row>
    <row r="105" spans="1:3" ht="15.75">
      <c r="A105" s="157" t="s">
        <v>110</v>
      </c>
      <c r="B105" s="157"/>
      <c r="C105" s="157"/>
    </row>
    <row r="106" spans="1:3" ht="15.75">
      <c r="A106" s="146" t="str">
        <f>A12</f>
        <v>количество вводов</v>
      </c>
      <c r="B106" s="140">
        <f>B12</f>
        <v>1</v>
      </c>
      <c r="C106" s="147"/>
    </row>
    <row r="107" spans="1:3" ht="15.75">
      <c r="A107" s="146" t="s">
        <v>106</v>
      </c>
      <c r="B107" s="138">
        <v>52</v>
      </c>
      <c r="C107" s="147" t="s">
        <v>111</v>
      </c>
    </row>
    <row r="108" spans="1:3" ht="15.75">
      <c r="A108" s="146" t="str">
        <f>A2</f>
        <v>общая площадь дома</v>
      </c>
      <c r="B108" s="138">
        <f>B2</f>
        <v>626.70000000000005</v>
      </c>
      <c r="C108" s="147" t="str">
        <f>C2</f>
        <v>м2</v>
      </c>
    </row>
    <row r="109" spans="1:3" ht="15.75">
      <c r="A109" s="150" t="s">
        <v>66</v>
      </c>
      <c r="B109" s="151">
        <f>ROUND(B106*B107/12/B108,4)</f>
        <v>6.8999999999999999E-3</v>
      </c>
      <c r="C109" s="152" t="s">
        <v>53</v>
      </c>
    </row>
    <row r="110" spans="1:3" ht="15.75">
      <c r="A110" s="157" t="s">
        <v>112</v>
      </c>
      <c r="B110" s="157"/>
      <c r="C110" s="157"/>
    </row>
    <row r="111" spans="1:3" ht="15.75">
      <c r="A111" s="146" t="str">
        <f>A5</f>
        <v>площадь кровли</v>
      </c>
      <c r="B111" s="138">
        <f>B5</f>
        <v>498.5</v>
      </c>
      <c r="C111" s="147" t="str">
        <f>C5</f>
        <v>м2</v>
      </c>
    </row>
    <row r="112" spans="1:3" ht="15.75">
      <c r="A112" s="146" t="s">
        <v>104</v>
      </c>
      <c r="B112" s="140">
        <v>1</v>
      </c>
      <c r="C112" s="147" t="s">
        <v>108</v>
      </c>
    </row>
    <row r="113" spans="1:3" ht="15.75">
      <c r="A113" s="146" t="s">
        <v>113</v>
      </c>
      <c r="B113" s="148">
        <v>0.02</v>
      </c>
      <c r="C113" s="147"/>
    </row>
    <row r="114" spans="1:3" ht="15.75">
      <c r="A114" s="146" t="s">
        <v>106</v>
      </c>
      <c r="B114" s="138">
        <v>192.03</v>
      </c>
      <c r="C114" s="147" t="s">
        <v>83</v>
      </c>
    </row>
    <row r="115" spans="1:3" ht="15.75">
      <c r="A115" s="146" t="str">
        <f>A2</f>
        <v>общая площадь дома</v>
      </c>
      <c r="B115" s="138">
        <f>B2</f>
        <v>626.70000000000005</v>
      </c>
      <c r="C115" s="147" t="str">
        <f>C2</f>
        <v>м2</v>
      </c>
    </row>
    <row r="116" spans="1:3" ht="15.75">
      <c r="A116" s="150" t="s">
        <v>66</v>
      </c>
      <c r="B116" s="151">
        <f>ROUND(B111*B114*B113/B112/B115/12,4)</f>
        <v>0.25459999999999999</v>
      </c>
      <c r="C116" s="152" t="s">
        <v>53</v>
      </c>
    </row>
    <row r="117" spans="1:3" ht="15.75">
      <c r="A117" s="157" t="s">
        <v>114</v>
      </c>
      <c r="B117" s="157"/>
      <c r="C117" s="157"/>
    </row>
    <row r="118" spans="1:3" ht="15.75">
      <c r="A118" s="146" t="str">
        <f>A13</f>
        <v>площадь отмостков</v>
      </c>
      <c r="B118" s="138">
        <f>B13</f>
        <v>50</v>
      </c>
      <c r="C118" s="147" t="str">
        <f>C13</f>
        <v>м2</v>
      </c>
    </row>
    <row r="119" spans="1:3" ht="15.75">
      <c r="A119" s="146" t="s">
        <v>104</v>
      </c>
      <c r="B119" s="140">
        <v>1</v>
      </c>
      <c r="C119" s="147" t="s">
        <v>108</v>
      </c>
    </row>
    <row r="120" spans="1:3" ht="15.75">
      <c r="A120" s="146" t="s">
        <v>113</v>
      </c>
      <c r="B120" s="159">
        <v>0.01</v>
      </c>
      <c r="C120" s="147"/>
    </row>
    <row r="121" spans="1:3" ht="15.75">
      <c r="A121" s="146" t="s">
        <v>106</v>
      </c>
      <c r="B121" s="138">
        <v>252.87</v>
      </c>
      <c r="C121" s="147" t="s">
        <v>159</v>
      </c>
    </row>
    <row r="122" spans="1:3" ht="15.75">
      <c r="A122" s="146" t="str">
        <f>A2</f>
        <v>общая площадь дома</v>
      </c>
      <c r="B122" s="138">
        <f>B2</f>
        <v>626.70000000000005</v>
      </c>
      <c r="C122" s="147" t="str">
        <f>C2</f>
        <v>м2</v>
      </c>
    </row>
    <row r="123" spans="1:3" ht="15.75">
      <c r="A123" s="150" t="s">
        <v>66</v>
      </c>
      <c r="B123" s="151">
        <f>ROUND(B118*B120*B121/B119/12/B122,4)</f>
        <v>1.6799999999999999E-2</v>
      </c>
      <c r="C123" s="152" t="s">
        <v>53</v>
      </c>
    </row>
    <row r="124" spans="1:3" ht="15.75">
      <c r="A124" s="157" t="s">
        <v>115</v>
      </c>
      <c r="B124" s="157"/>
      <c r="C124" s="157"/>
    </row>
    <row r="125" spans="1:3" ht="15.75">
      <c r="A125" s="146" t="str">
        <f>A15</f>
        <v>площадь подлежащая изоляции</v>
      </c>
      <c r="B125" s="138">
        <f>B15</f>
        <v>0</v>
      </c>
      <c r="C125" s="147" t="str">
        <f>C15</f>
        <v>м2</v>
      </c>
    </row>
    <row r="126" spans="1:3" ht="15.75">
      <c r="A126" s="146" t="s">
        <v>104</v>
      </c>
      <c r="B126" s="140">
        <v>1</v>
      </c>
      <c r="C126" s="147" t="s">
        <v>108</v>
      </c>
    </row>
    <row r="127" spans="1:3" ht="15.75">
      <c r="A127" s="146" t="s">
        <v>113</v>
      </c>
      <c r="B127" s="148">
        <v>0.1</v>
      </c>
      <c r="C127" s="147"/>
    </row>
    <row r="128" spans="1:3" ht="15.75">
      <c r="A128" s="146" t="s">
        <v>106</v>
      </c>
      <c r="B128" s="138">
        <v>176.45</v>
      </c>
      <c r="C128" s="147" t="s">
        <v>159</v>
      </c>
    </row>
    <row r="129" spans="1:3" ht="15.75">
      <c r="A129" s="146" t="str">
        <f>A2</f>
        <v>общая площадь дома</v>
      </c>
      <c r="B129" s="138">
        <f>B2</f>
        <v>626.70000000000005</v>
      </c>
      <c r="C129" s="147" t="str">
        <f>C2</f>
        <v>м2</v>
      </c>
    </row>
    <row r="130" spans="1:3" ht="15.75">
      <c r="A130" s="150" t="s">
        <v>66</v>
      </c>
      <c r="B130" s="151">
        <f>ROUND(B125*B127*B128/B126/12/B129,4)</f>
        <v>0</v>
      </c>
      <c r="C130" s="152" t="s">
        <v>53</v>
      </c>
    </row>
    <row r="131" spans="1:3" ht="15.75">
      <c r="A131" s="157" t="s">
        <v>116</v>
      </c>
      <c r="B131" s="157"/>
      <c r="C131" s="157"/>
    </row>
    <row r="132" spans="1:3" ht="15.75">
      <c r="A132" s="146" t="s">
        <v>104</v>
      </c>
      <c r="B132" s="140">
        <v>1</v>
      </c>
      <c r="C132" s="147" t="s">
        <v>108</v>
      </c>
    </row>
    <row r="133" spans="1:3" ht="15.75">
      <c r="A133" s="146" t="s">
        <v>117</v>
      </c>
      <c r="B133" s="138">
        <v>264313.58</v>
      </c>
      <c r="C133" s="147" t="s">
        <v>118</v>
      </c>
    </row>
    <row r="134" spans="1:3" ht="15.75">
      <c r="A134" s="146" t="s">
        <v>119</v>
      </c>
      <c r="B134" s="138">
        <v>475428.47</v>
      </c>
      <c r="C134" s="147" t="s">
        <v>32</v>
      </c>
    </row>
    <row r="135" spans="1:3" ht="15.75">
      <c r="A135" s="150" t="s">
        <v>66</v>
      </c>
      <c r="B135" s="151">
        <f>ROUND(B133/B134/B132/12,4)</f>
        <v>4.6300000000000001E-2</v>
      </c>
      <c r="C135" s="152" t="s">
        <v>53</v>
      </c>
    </row>
    <row r="136" spans="1:3" ht="15.75">
      <c r="A136" s="157" t="s">
        <v>120</v>
      </c>
      <c r="B136" s="157"/>
      <c r="C136" s="157"/>
    </row>
    <row r="137" spans="1:3" ht="15.75">
      <c r="A137" s="146" t="s">
        <v>106</v>
      </c>
      <c r="B137" s="138">
        <v>153.46</v>
      </c>
      <c r="C137" s="147" t="s">
        <v>157</v>
      </c>
    </row>
    <row r="138" spans="1:3" ht="15.75">
      <c r="A138" s="146" t="s">
        <v>121</v>
      </c>
      <c r="B138" s="160">
        <v>1</v>
      </c>
      <c r="C138" s="147" t="s">
        <v>122</v>
      </c>
    </row>
    <row r="139" spans="1:3" ht="15.75">
      <c r="A139" s="146" t="str">
        <f>A2</f>
        <v>общая площадь дома</v>
      </c>
      <c r="B139" s="138">
        <f>B2</f>
        <v>626.70000000000005</v>
      </c>
      <c r="C139" s="147" t="str">
        <f>C2</f>
        <v>м2</v>
      </c>
    </row>
    <row r="140" spans="1:3" ht="15.75">
      <c r="A140" s="150" t="s">
        <v>66</v>
      </c>
      <c r="B140" s="151">
        <f>ROUND(B138*B137/12/B139,4)</f>
        <v>2.0400000000000001E-2</v>
      </c>
      <c r="C140" s="152" t="s">
        <v>53</v>
      </c>
    </row>
    <row r="141" spans="1:3" ht="15.75">
      <c r="A141" s="157" t="s">
        <v>123</v>
      </c>
      <c r="B141" s="157"/>
      <c r="C141" s="157"/>
    </row>
    <row r="142" spans="1:3" ht="15.75">
      <c r="A142" s="146" t="str">
        <f>A11</f>
        <v>количество монтажных окон</v>
      </c>
      <c r="B142" s="140">
        <f>B11</f>
        <v>0</v>
      </c>
      <c r="C142" s="147" t="s">
        <v>36</v>
      </c>
    </row>
    <row r="143" spans="1:3" ht="15.75">
      <c r="A143" s="146" t="s">
        <v>124</v>
      </c>
      <c r="B143" s="138">
        <v>14.44</v>
      </c>
      <c r="C143" s="147" t="s">
        <v>125</v>
      </c>
    </row>
    <row r="144" spans="1:3" ht="15.75">
      <c r="A144" s="146" t="str">
        <f>A2</f>
        <v>общая площадь дома</v>
      </c>
      <c r="B144" s="138">
        <f>B2</f>
        <v>626.70000000000005</v>
      </c>
      <c r="C144" s="147" t="str">
        <f>C2</f>
        <v>м2</v>
      </c>
    </row>
    <row r="145" spans="1:3" ht="15.75">
      <c r="A145" s="150" t="s">
        <v>66</v>
      </c>
      <c r="B145" s="151">
        <f>ROUND(B142*B143/12/B144,4)</f>
        <v>0</v>
      </c>
      <c r="C145" s="152" t="s">
        <v>53</v>
      </c>
    </row>
    <row r="146" spans="1:3" ht="15.75">
      <c r="A146" s="157" t="s">
        <v>126</v>
      </c>
      <c r="B146" s="157"/>
      <c r="C146" s="157"/>
    </row>
    <row r="147" spans="1:3" ht="15.75">
      <c r="A147" s="161" t="s">
        <v>127</v>
      </c>
      <c r="B147" s="160">
        <v>0.5</v>
      </c>
      <c r="C147" s="147" t="s">
        <v>36</v>
      </c>
    </row>
    <row r="148" spans="1:3" ht="15.75">
      <c r="A148" s="146" t="s">
        <v>106</v>
      </c>
      <c r="B148" s="138">
        <v>1573.02</v>
      </c>
      <c r="C148" s="147" t="s">
        <v>87</v>
      </c>
    </row>
    <row r="149" spans="1:3" ht="15.75">
      <c r="A149" s="146" t="str">
        <f>A2</f>
        <v>общая площадь дома</v>
      </c>
      <c r="B149" s="138">
        <f>B2</f>
        <v>626.70000000000005</v>
      </c>
      <c r="C149" s="147" t="str">
        <f>C2</f>
        <v>м2</v>
      </c>
    </row>
    <row r="150" spans="1:3" ht="15.75">
      <c r="A150" s="150" t="s">
        <v>66</v>
      </c>
      <c r="B150" s="151">
        <f>ROUND(B148*B147/12/B149,4)</f>
        <v>0.1046</v>
      </c>
      <c r="C150" s="152" t="s">
        <v>53</v>
      </c>
    </row>
    <row r="151" spans="1:3" ht="15.75">
      <c r="A151" s="157" t="s">
        <v>128</v>
      </c>
      <c r="B151" s="157"/>
      <c r="C151" s="157"/>
    </row>
    <row r="152" spans="1:3" ht="15.75">
      <c r="A152" s="146" t="s">
        <v>129</v>
      </c>
      <c r="B152" s="138">
        <v>7.32</v>
      </c>
      <c r="C152" s="147" t="s">
        <v>32</v>
      </c>
    </row>
    <row r="153" spans="1:3" ht="15.75">
      <c r="A153" s="146" t="s">
        <v>130</v>
      </c>
      <c r="B153" s="138">
        <f>B152*B4</f>
        <v>0</v>
      </c>
      <c r="C153" s="147" t="s">
        <v>32</v>
      </c>
    </row>
    <row r="154" spans="1:3" ht="15.75">
      <c r="A154" s="146" t="s">
        <v>131</v>
      </c>
      <c r="B154" s="148">
        <v>0.13</v>
      </c>
      <c r="C154" s="147"/>
    </row>
    <row r="155" spans="1:3" ht="15.75">
      <c r="A155" s="146" t="s">
        <v>132</v>
      </c>
      <c r="B155" s="138">
        <v>152.94</v>
      </c>
      <c r="C155" s="147" t="s">
        <v>133</v>
      </c>
    </row>
    <row r="156" spans="1:3" ht="15.75">
      <c r="A156" s="146" t="s">
        <v>31</v>
      </c>
      <c r="B156" s="138">
        <f>B2</f>
        <v>626.70000000000005</v>
      </c>
      <c r="C156" s="147" t="str">
        <f>C15</f>
        <v>м2</v>
      </c>
    </row>
    <row r="157" spans="1:3" ht="15.75">
      <c r="A157" s="150" t="s">
        <v>66</v>
      </c>
      <c r="B157" s="151">
        <f>B153*B155*B154/B156/12</f>
        <v>0</v>
      </c>
      <c r="C157" s="152" t="s">
        <v>133</v>
      </c>
    </row>
    <row r="158" spans="1:3" ht="15.75">
      <c r="A158" s="162" t="s">
        <v>160</v>
      </c>
      <c r="B158" s="163"/>
      <c r="C158" s="164"/>
    </row>
    <row r="159" spans="1:3" ht="15.75">
      <c r="A159" s="146" t="s">
        <v>47</v>
      </c>
      <c r="B159" s="160">
        <f>B14</f>
        <v>68</v>
      </c>
      <c r="C159" s="147" t="s">
        <v>32</v>
      </c>
    </row>
    <row r="160" spans="1:3" ht="15.75">
      <c r="A160" s="146" t="s">
        <v>131</v>
      </c>
      <c r="B160" s="140">
        <v>5</v>
      </c>
      <c r="C160" s="165" t="s">
        <v>161</v>
      </c>
    </row>
    <row r="161" spans="1:3" ht="15.75">
      <c r="A161" s="161" t="s">
        <v>124</v>
      </c>
      <c r="B161" s="166">
        <v>104.76</v>
      </c>
      <c r="C161" s="167" t="s">
        <v>133</v>
      </c>
    </row>
    <row r="162" spans="1:3" ht="15.75">
      <c r="A162" s="161" t="s">
        <v>31</v>
      </c>
      <c r="B162" s="168">
        <f>B2</f>
        <v>626.70000000000005</v>
      </c>
      <c r="C162" s="167" t="s">
        <v>32</v>
      </c>
    </row>
    <row r="163" spans="1:3" ht="15.75">
      <c r="A163" s="169" t="s">
        <v>162</v>
      </c>
      <c r="B163" s="170">
        <f>B159/100*B160*B161/B162/12</f>
        <v>4.7362374341790338E-2</v>
      </c>
      <c r="C163" s="167" t="s">
        <v>53</v>
      </c>
    </row>
    <row r="164" spans="1:3" ht="47.25">
      <c r="A164" s="171" t="s">
        <v>134</v>
      </c>
      <c r="B164" s="144">
        <v>0</v>
      </c>
      <c r="C164" s="172" t="s">
        <v>53</v>
      </c>
    </row>
    <row r="165" spans="1:3" ht="15.75">
      <c r="A165" s="154" t="s">
        <v>100</v>
      </c>
      <c r="B165" s="144">
        <f>B164+B91</f>
        <v>0.86060000000000003</v>
      </c>
      <c r="C165" s="156" t="s">
        <v>53</v>
      </c>
    </row>
    <row r="166" spans="1:3" ht="31.5">
      <c r="A166" s="141" t="s">
        <v>135</v>
      </c>
      <c r="B166" s="142"/>
      <c r="C166" s="141"/>
    </row>
    <row r="167" spans="1:3" ht="15.75">
      <c r="A167" s="173" t="s">
        <v>136</v>
      </c>
      <c r="B167" s="144">
        <f>B168</f>
        <v>0.69479999999999997</v>
      </c>
      <c r="C167" s="172" t="s">
        <v>53</v>
      </c>
    </row>
    <row r="168" spans="1:3" ht="15.75">
      <c r="A168" s="150" t="s">
        <v>66</v>
      </c>
      <c r="B168" s="151">
        <v>0.69479999999999997</v>
      </c>
      <c r="C168" s="152" t="s">
        <v>53</v>
      </c>
    </row>
    <row r="169" spans="1:3" ht="15.75">
      <c r="A169" s="173" t="s">
        <v>100</v>
      </c>
      <c r="B169" s="144">
        <f>B167</f>
        <v>0.69479999999999997</v>
      </c>
      <c r="C169" s="172" t="s">
        <v>53</v>
      </c>
    </row>
    <row r="170" spans="1:3" ht="15.75">
      <c r="A170" s="141" t="s">
        <v>137</v>
      </c>
      <c r="B170" s="142"/>
      <c r="C170" s="141"/>
    </row>
    <row r="171" spans="1:3" ht="15.75">
      <c r="A171" s="173" t="s">
        <v>138</v>
      </c>
      <c r="B171" s="144">
        <v>0</v>
      </c>
      <c r="C171" s="172" t="s">
        <v>53</v>
      </c>
    </row>
    <row r="172" spans="1:3" ht="15.75">
      <c r="A172" s="173" t="s">
        <v>100</v>
      </c>
      <c r="B172" s="144">
        <f>B171</f>
        <v>0</v>
      </c>
      <c r="C172" s="172" t="s">
        <v>53</v>
      </c>
    </row>
    <row r="173" spans="1:3" ht="20.25">
      <c r="A173" s="174" t="s">
        <v>139</v>
      </c>
      <c r="B173" s="175">
        <f>B172+B169+B165+B89</f>
        <v>4.5007000000000001</v>
      </c>
      <c r="C173" s="176" t="s">
        <v>53</v>
      </c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5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202" t="s">
        <v>200</v>
      </c>
      <c r="B1" s="202"/>
      <c r="C1" s="202"/>
      <c r="D1" s="202"/>
    </row>
    <row r="2" spans="1:4" ht="63">
      <c r="A2" s="177" t="s">
        <v>177</v>
      </c>
      <c r="B2" s="178" t="s">
        <v>178</v>
      </c>
      <c r="C2" s="178" t="s">
        <v>179</v>
      </c>
      <c r="D2" s="178" t="s">
        <v>180</v>
      </c>
    </row>
    <row r="3" spans="1:4" ht="31.5">
      <c r="A3" s="179" t="s">
        <v>181</v>
      </c>
      <c r="B3" s="180" t="s">
        <v>8</v>
      </c>
      <c r="C3" s="181">
        <f>C4+C5+C6+C7+C8+C9+C10</f>
        <v>2.9453000000000005</v>
      </c>
      <c r="D3" s="181">
        <f>D4+D5+D6+D7+D8+D9+D10</f>
        <v>5.4065973128382572</v>
      </c>
    </row>
    <row r="4" spans="1:4" ht="15.75">
      <c r="A4" s="182" t="s">
        <v>182</v>
      </c>
      <c r="B4" s="183" t="s">
        <v>3</v>
      </c>
      <c r="C4" s="184">
        <f>план!B19</f>
        <v>1.0482</v>
      </c>
      <c r="D4" s="185">
        <f>управление!D85/управление!C4/12*1.2</f>
        <v>2.1093938375034345</v>
      </c>
    </row>
    <row r="5" spans="1:4" ht="15.75">
      <c r="A5" s="182" t="s">
        <v>183</v>
      </c>
      <c r="B5" s="183" t="s">
        <v>4</v>
      </c>
      <c r="C5" s="186">
        <f>план!B36</f>
        <v>1.7539</v>
      </c>
      <c r="D5" s="185">
        <f>управление!E85/управление!C4/12*1.2</f>
        <v>3.0829029602249318</v>
      </c>
    </row>
    <row r="6" spans="1:4" ht="15.75">
      <c r="A6" s="182" t="s">
        <v>184</v>
      </c>
      <c r="B6" s="183" t="s">
        <v>5</v>
      </c>
      <c r="C6" s="186">
        <f>план!B59</f>
        <v>2.3E-3</v>
      </c>
      <c r="D6" s="185">
        <f>управление!F85/управление!C4/12*1.2</f>
        <v>5.5631868131868142E-3</v>
      </c>
    </row>
    <row r="7" spans="1:4" ht="15.75">
      <c r="A7" s="182" t="s">
        <v>185</v>
      </c>
      <c r="B7" s="183" t="s">
        <v>6</v>
      </c>
      <c r="C7" s="186">
        <f>план!B66</f>
        <v>2.8999999999999998E-3</v>
      </c>
      <c r="D7" s="185">
        <f>управление!G85/управление!C4/12*1.2</f>
        <v>3.7603021978021975E-3</v>
      </c>
    </row>
    <row r="8" spans="1:4" ht="15.75">
      <c r="A8" s="182" t="s">
        <v>186</v>
      </c>
      <c r="B8" s="183" t="s">
        <v>7</v>
      </c>
      <c r="C8" s="186">
        <f>план!B73</f>
        <v>5.5199999999999999E-2</v>
      </c>
      <c r="D8" s="185">
        <f>управление!H85/управление!C4/12*1.2</f>
        <v>8.3076923076923076E-2</v>
      </c>
    </row>
    <row r="9" spans="1:4" ht="31.5">
      <c r="A9" s="182" t="s">
        <v>187</v>
      </c>
      <c r="B9" s="183" t="s">
        <v>11</v>
      </c>
      <c r="C9" s="186">
        <f>план!B79</f>
        <v>7.8600000000000003E-2</v>
      </c>
      <c r="D9" s="185">
        <f>управление!I85/управление!C4/12*1.2</f>
        <v>9.9398385989011004E-2</v>
      </c>
    </row>
    <row r="10" spans="1:4" ht="47.25">
      <c r="A10" s="182" t="s">
        <v>188</v>
      </c>
      <c r="B10" s="183" t="s">
        <v>189</v>
      </c>
      <c r="C10" s="186">
        <f>план!B80</f>
        <v>4.1999999999999997E-3</v>
      </c>
      <c r="D10" s="185">
        <f>управление!J85/управление!C4/12*1.2</f>
        <v>2.2501717032967036E-2</v>
      </c>
    </row>
    <row r="11" spans="1:4" ht="31.5">
      <c r="A11" s="179" t="s">
        <v>190</v>
      </c>
      <c r="B11" s="180" t="s">
        <v>13</v>
      </c>
      <c r="C11" s="187">
        <f>C12</f>
        <v>0.86060000000000003</v>
      </c>
      <c r="D11" s="181">
        <f>D12</f>
        <v>2.5559975961538464</v>
      </c>
    </row>
    <row r="12" spans="1:4" ht="31.5">
      <c r="A12" s="182" t="s">
        <v>191</v>
      </c>
      <c r="B12" s="183" t="s">
        <v>12</v>
      </c>
      <c r="C12" s="186">
        <f>план!B91</f>
        <v>0.86060000000000003</v>
      </c>
      <c r="D12" s="185">
        <f>управление!L85/управление!C4/12*1.2</f>
        <v>2.5559975961538464</v>
      </c>
    </row>
    <row r="13" spans="1:4" ht="31.5">
      <c r="A13" s="179" t="s">
        <v>192</v>
      </c>
      <c r="B13" s="180" t="s">
        <v>14</v>
      </c>
      <c r="C13" s="188">
        <f>C14</f>
        <v>0.69479999999999997</v>
      </c>
      <c r="D13" s="181">
        <f>D14</f>
        <v>0.5211881868131869</v>
      </c>
    </row>
    <row r="14" spans="1:4" ht="15.75">
      <c r="A14" s="182" t="s">
        <v>193</v>
      </c>
      <c r="B14" s="183" t="s">
        <v>15</v>
      </c>
      <c r="C14" s="186">
        <f>план!B167</f>
        <v>0.69479999999999997</v>
      </c>
      <c r="D14" s="185">
        <f>управление!N85/управление!C4/12*1.2</f>
        <v>0.5211881868131869</v>
      </c>
    </row>
    <row r="15" spans="1:4" ht="15.75">
      <c r="A15" s="179" t="s">
        <v>194</v>
      </c>
      <c r="B15" s="180" t="s">
        <v>195</v>
      </c>
      <c r="C15" s="187">
        <v>0</v>
      </c>
      <c r="D15" s="181">
        <f>'[3]план-факт'!F165</f>
        <v>0</v>
      </c>
    </row>
    <row r="16" spans="1:4" ht="15.75">
      <c r="A16" s="179"/>
      <c r="B16" s="180" t="s">
        <v>16</v>
      </c>
      <c r="C16" s="181">
        <f>C13+C11+C3</f>
        <v>4.5007000000000001</v>
      </c>
      <c r="D16" s="181">
        <f>D13+D11+D3</f>
        <v>8.4837830958052898</v>
      </c>
    </row>
    <row r="17" spans="1:5" ht="15.75">
      <c r="A17" s="189"/>
      <c r="B17" s="190"/>
      <c r="C17" s="190"/>
      <c r="D17" s="189"/>
    </row>
    <row r="18" spans="1:5" ht="15.75">
      <c r="A18" s="191"/>
      <c r="B18" s="192" t="s">
        <v>196</v>
      </c>
      <c r="C18" s="192"/>
      <c r="D18" s="193">
        <f>управление!C4</f>
        <v>582.4</v>
      </c>
    </row>
    <row r="19" spans="1:5" ht="15.75">
      <c r="A19" s="191"/>
      <c r="B19" s="192" t="s">
        <v>197</v>
      </c>
      <c r="C19" s="192"/>
      <c r="D19" s="193">
        <f>D18*D16*12</f>
        <v>59291.463299964009</v>
      </c>
    </row>
    <row r="20" spans="1:5" ht="15.75">
      <c r="A20" s="194"/>
      <c r="B20" s="195" t="s">
        <v>198</v>
      </c>
      <c r="C20" s="194"/>
      <c r="D20" s="196">
        <f>управление!C84*1.2</f>
        <v>31094.65</v>
      </c>
      <c r="E20" s="194"/>
    </row>
    <row r="21" spans="1:5" ht="15.75">
      <c r="A21" s="194"/>
      <c r="B21" s="195" t="s">
        <v>199</v>
      </c>
      <c r="C21" s="194"/>
      <c r="D21" s="196">
        <f>управление!C83*1.2</f>
        <v>34328.800000000003</v>
      </c>
      <c r="E21" s="194"/>
    </row>
    <row r="22" spans="1:5" ht="15.75">
      <c r="A22" s="194"/>
      <c r="B22" s="203"/>
      <c r="C22" s="203"/>
      <c r="D22" s="196"/>
      <c r="E22" s="194"/>
    </row>
    <row r="23" spans="1:5" ht="15.75">
      <c r="B23" s="195"/>
      <c r="D23" s="196"/>
      <c r="E23" s="194"/>
    </row>
    <row r="24" spans="1:5" ht="15.75">
      <c r="E24" s="194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управление</vt:lpstr>
      <vt:lpstr>расчет</vt:lpstr>
      <vt:lpstr>план</vt:lpstr>
      <vt:lpstr>2023</vt:lpstr>
      <vt:lpstr>управление!Заголовки_для_печати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2024-10-31T11:20:32Z</dcterms:modified>
</cp:coreProperties>
</file>